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EBOSC - Sgen\Desktop\_téléchargement\"/>
    </mc:Choice>
  </mc:AlternateContent>
  <xr:revisionPtr revIDLastSave="0" documentId="13_ncr:1_{5CDD8DF2-C31D-4976-89B6-1CDB3BA8F5B3}" xr6:coauthVersionLast="36" xr6:coauthVersionMax="47" xr10:uidLastSave="{00000000-0000-0000-0000-000000000000}"/>
  <bookViews>
    <workbookView xWindow="0" yWindow="0" windowWidth="20490" windowHeight="7230" xr2:uid="{F13D86C4-231A-4985-92F2-E6862B450214}"/>
  </bookViews>
  <sheets>
    <sheet name="#Revente" sheetId="8" r:id="rId1"/>
    <sheet name="Investissement" sheetId="13" r:id="rId2"/>
    <sheet name="Crédit réinvest" sheetId="14" r:id="rId3"/>
    <sheet name="Crédit" sheetId="3" r:id="rId4"/>
    <sheet name="Comptant" sheetId="15" r:id="rId5"/>
    <sheet name="AV" sheetId="17" r:id="rId6"/>
    <sheet name="Old AV" sheetId="11" r:id="rId7"/>
    <sheet name="Etranger" sheetId="9" r:id="rId8"/>
    <sheet name="SCPI" sheetId="12" r:id="rId9"/>
    <sheet name="Livret" sheetId="10" r:id="rId10"/>
    <sheet name="Prêt" sheetId="7" r:id="rId11"/>
  </sheets>
  <externalReferences>
    <externalReference r:id="rId12"/>
    <externalReference r:id="rId13"/>
  </externalReferences>
  <definedNames>
    <definedName name="Apport" localSheetId="1">Investissement!$B$2</definedName>
    <definedName name="Coût_assurance_annuel">Prêt!$K$2</definedName>
    <definedName name="Coût_revente">[1]Paramètres!$B$46</definedName>
    <definedName name="Date_Paiement">DATE(YEAR(Début_Prêt),MONTH(Début_Prêt)+Numéro_Paiement,DAY(Début_Prêt))</definedName>
    <definedName name="Début_Prêt">Prêt!$E$6</definedName>
    <definedName name="Dernière_Ligne">IF(Valeurs_Entrées,Ligne_EnTête+Nombre_De_Paiements,Ligne_EnTête)</definedName>
    <definedName name="DifferencePeriode">[2]simulation_épargne_avec_but!$D$23</definedName>
    <definedName name="Durée_crédit">[1]Paramètres!$B$9</definedName>
    <definedName name="Durée_Pinel">[1]Paramètres!$B$8</definedName>
    <definedName name="Duree_Prêt" localSheetId="1">Investissement!$B$3</definedName>
    <definedName name="Durée_Prêt">Prêt!$E$5</definedName>
    <definedName name="Intérêts">-IPMT(Taux_Intérêt/12,Numéro_Paiement,Nombre_De_Paiements,Montant_Du_Prêt)</definedName>
    <definedName name="Ligne_EnTête">ROW(Prêt!$12:$12)</definedName>
    <definedName name="Ligne_EnTête_Arrière">ROW(Prêt!$12:$12)</definedName>
    <definedName name="Loyer_Appart">[1]Paramètres!$B$30</definedName>
    <definedName name="Loyer_avec_charges_FINAL">[1]Paramètres!$B$44</definedName>
    <definedName name="Loyer_MAX_location">[1]Paramètres!$B$17</definedName>
    <definedName name="Loyer_max_pinel">[1]Paramètres!$B$41</definedName>
    <definedName name="Montant_Du_Prêt">Prêt!$E$3</definedName>
    <definedName name="Nombre_De_Paiements">Prêt!$E$9</definedName>
    <definedName name="Numéro_Paiement">ROW()-Ligne_EnTête</definedName>
    <definedName name="Paiement_Mensuel">-PMT(Taux_Intérêt/12,Nombre_De_Paiements,Montant_Du_Prêt)</definedName>
    <definedName name="pret">Investissement!$B$1</definedName>
    <definedName name="Prêt_Montant">[1]Paramètres!$B$45</definedName>
    <definedName name="Prêt_Non_Payé">IF(Numéro_Paiement&lt;=Nombre_De_Paiements,1,0)</definedName>
    <definedName name="qsdqdqsdq" localSheetId="5">Prêt[[#Headers],[N°]]</definedName>
    <definedName name="qsdqdqsdq">Prêt[[#Headers],[N°]]</definedName>
    <definedName name="Retraite">[1]Paramètres!$B$33</definedName>
    <definedName name="Salaire">[1]Paramètres!$B$32</definedName>
    <definedName name="Solde_Départ">-FV(Taux_Intérêt/12,Numéro_Paiement-1,-Paiement_Mensuel,Montant_Du_Prêt)</definedName>
    <definedName name="Solde_Final">-FV(Taux_Intérêt/12,Numéro_Paiement,-Paiement_Mensuel,Montant_Du_Prêt)</definedName>
    <definedName name="Surface_utile">[1]Paramètres!$B$36</definedName>
    <definedName name="Tau_Prêt" localSheetId="1">Investissement!$B$4</definedName>
    <definedName name="Taux_augment_loyer_IRL">[1]Paramètres!$B$15</definedName>
    <definedName name="Taux_crédit">[1]Paramètres!$B$10</definedName>
    <definedName name="Taux_defiscalisation_Pinel">[1]Paramètres!$B$39</definedName>
    <definedName name="Taux_Intérêt">Prêt!$E$4</definedName>
    <definedName name="Taux_Prêt" localSheetId="1">Investissement!$B$4</definedName>
    <definedName name="TauxInteretAnnuel">[2]simulation_épargne_avec_but!$D$13</definedName>
    <definedName name="Taxe_foncière__an">[1]Paramètres!$B$19</definedName>
    <definedName name="TitreColonne1" localSheetId="5">Prêt[[#Headers],[N°]]</definedName>
    <definedName name="TitreColonne1" localSheetId="4">Prêt[[#Headers],[N°]]</definedName>
    <definedName name="TitreColonne1" localSheetId="2">Prêt[[#Headers],[N°]]</definedName>
    <definedName name="TitreColonne1" localSheetId="1">Prêt[[#Headers],[N°]]</definedName>
    <definedName name="TitreColonne1" localSheetId="9">Prêt[[#Headers],[N°]]</definedName>
    <definedName name="TitreColonne1" localSheetId="6">Prêt[[#Headers],[N°]]</definedName>
    <definedName name="TitreColonne1" localSheetId="8">Prêt[[#Headers],[N°]]</definedName>
    <definedName name="TitreColonne1">Prêt[[#Headers],[N°]]</definedName>
    <definedName name="Total_Des_Intérêts">Prêt!$E$10</definedName>
    <definedName name="Valeur_initiale" localSheetId="5">AV!$B$7</definedName>
    <definedName name="Valeur_initiale" localSheetId="4">Comptant!$B$6</definedName>
    <definedName name="Valeur_initiale" localSheetId="2">'Crédit réinvest'!$B$6</definedName>
    <definedName name="Valeur_initiale" localSheetId="1">Investissement!$B$6</definedName>
    <definedName name="Valeur_initiale">Crédit!$B$6</definedName>
    <definedName name="Valeurs_Entrées">IF(Montant_Du_Prêt*Taux_Intérêt*Durée_Prêt*Début_Prêt&gt;0,1,0)</definedName>
    <definedName name="VersementPeriodique">[2]simulation_épargne_avec_but!$D$17</definedName>
    <definedName name="VersementPeriodiqueSansInteret">[2]simulation_épargne_avec_but!$D$21</definedName>
    <definedName name="VersementsType">[2]simulation_épargne_avec_but!$D$11</definedName>
    <definedName name="ZoneTitreLigne1..E6">Prêt!$B$3</definedName>
    <definedName name="ZoneTitreLigne2..E11">Prêt!$B$8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7" l="1"/>
  <c r="E17" i="17" s="1"/>
  <c r="F17" i="17" s="1"/>
  <c r="G17" i="17" s="1"/>
  <c r="H17" i="17" s="1"/>
  <c r="I17" i="17" s="1"/>
  <c r="J17" i="17" s="1"/>
  <c r="K17" i="17" s="1"/>
  <c r="L17" i="17" s="1"/>
  <c r="M17" i="17" s="1"/>
  <c r="N17" i="17" s="1"/>
  <c r="O17" i="17" s="1"/>
  <c r="P17" i="17" s="1"/>
  <c r="Q17" i="17" s="1"/>
  <c r="R17" i="17" s="1"/>
  <c r="S17" i="17" s="1"/>
  <c r="T17" i="17" s="1"/>
  <c r="U17" i="17" s="1"/>
  <c r="V17" i="17" s="1"/>
  <c r="W17" i="17" s="1"/>
  <c r="X17" i="17" s="1"/>
  <c r="Y17" i="17" s="1"/>
  <c r="Z17" i="17" s="1"/>
  <c r="AA17" i="17" s="1"/>
  <c r="AB17" i="17" s="1"/>
  <c r="AC17" i="17" s="1"/>
  <c r="AD17" i="17" s="1"/>
  <c r="AE17" i="17" s="1"/>
  <c r="C17" i="17"/>
  <c r="B17" i="17"/>
  <c r="B14" i="17"/>
  <c r="D19" i="17" l="1"/>
  <c r="E19" i="17"/>
  <c r="F19" i="17" s="1"/>
  <c r="G19" i="17" s="1"/>
  <c r="H19" i="17" s="1"/>
  <c r="I19" i="17" s="1"/>
  <c r="J19" i="17" s="1"/>
  <c r="K19" i="17" s="1"/>
  <c r="L19" i="17" s="1"/>
  <c r="M19" i="17" s="1"/>
  <c r="N19" i="17" s="1"/>
  <c r="O19" i="17" s="1"/>
  <c r="P19" i="17" s="1"/>
  <c r="Q19" i="17" s="1"/>
  <c r="R19" i="17" s="1"/>
  <c r="S19" i="17" s="1"/>
  <c r="T19" i="17" s="1"/>
  <c r="U19" i="17" s="1"/>
  <c r="V19" i="17" s="1"/>
  <c r="W19" i="17" s="1"/>
  <c r="X19" i="17" s="1"/>
  <c r="Y19" i="17" s="1"/>
  <c r="Z19" i="17" s="1"/>
  <c r="AA19" i="17" s="1"/>
  <c r="AB19" i="17" s="1"/>
  <c r="AC19" i="17" s="1"/>
  <c r="AD19" i="17" s="1"/>
  <c r="AE19" i="17" s="1"/>
  <c r="C19" i="17"/>
  <c r="B11" i="17"/>
  <c r="C27" i="17"/>
  <c r="D27" i="17" s="1"/>
  <c r="E27" i="17" s="1"/>
  <c r="F27" i="17" s="1"/>
  <c r="G27" i="17" s="1"/>
  <c r="H27" i="17" s="1"/>
  <c r="I27" i="17" s="1"/>
  <c r="J27" i="17" s="1"/>
  <c r="K27" i="17" s="1"/>
  <c r="L27" i="17" s="1"/>
  <c r="M27" i="17" s="1"/>
  <c r="N27" i="17" s="1"/>
  <c r="O27" i="17" s="1"/>
  <c r="P27" i="17" s="1"/>
  <c r="Q27" i="17" s="1"/>
  <c r="R27" i="17" s="1"/>
  <c r="S27" i="17" s="1"/>
  <c r="T27" i="17" s="1"/>
  <c r="U27" i="17" s="1"/>
  <c r="V27" i="17" s="1"/>
  <c r="W27" i="17" s="1"/>
  <c r="X27" i="17" s="1"/>
  <c r="Y27" i="17" s="1"/>
  <c r="Z27" i="17" s="1"/>
  <c r="AA27" i="17" s="1"/>
  <c r="AB27" i="17" s="1"/>
  <c r="AC27" i="17" s="1"/>
  <c r="AD27" i="17" s="1"/>
  <c r="AE27" i="17" s="1"/>
  <c r="B12" i="17"/>
  <c r="C10" i="17"/>
  <c r="D10" i="17" s="1"/>
  <c r="E10" i="17" s="1"/>
  <c r="F10" i="17" s="1"/>
  <c r="G10" i="17" s="1"/>
  <c r="H10" i="17" s="1"/>
  <c r="I10" i="17" s="1"/>
  <c r="J10" i="17" s="1"/>
  <c r="K10" i="17" s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V10" i="17" s="1"/>
  <c r="W10" i="17" s="1"/>
  <c r="X10" i="17" s="1"/>
  <c r="Y10" i="17" s="1"/>
  <c r="Z10" i="17" s="1"/>
  <c r="AA10" i="17" s="1"/>
  <c r="AB10" i="17" s="1"/>
  <c r="AC10" i="17" s="1"/>
  <c r="AD10" i="17" s="1"/>
  <c r="AE10" i="17" s="1"/>
  <c r="B7" i="17"/>
  <c r="B4" i="17"/>
  <c r="B22" i="15"/>
  <c r="C22" i="15" s="1"/>
  <c r="D22" i="15" s="1"/>
  <c r="E22" i="15" s="1"/>
  <c r="F22" i="15" s="1"/>
  <c r="G22" i="15" s="1"/>
  <c r="H22" i="15" s="1"/>
  <c r="I22" i="15" s="1"/>
  <c r="J22" i="15" s="1"/>
  <c r="K22" i="15" s="1"/>
  <c r="L22" i="15" s="1"/>
  <c r="M22" i="15" s="1"/>
  <c r="N22" i="15" s="1"/>
  <c r="O22" i="15" s="1"/>
  <c r="P22" i="15" s="1"/>
  <c r="Q22" i="15" s="1"/>
  <c r="R22" i="15" s="1"/>
  <c r="S22" i="15" s="1"/>
  <c r="T22" i="15" s="1"/>
  <c r="U22" i="15" s="1"/>
  <c r="V22" i="15" s="1"/>
  <c r="W22" i="15" s="1"/>
  <c r="X22" i="15" s="1"/>
  <c r="Y22" i="15" s="1"/>
  <c r="Z22" i="15" s="1"/>
  <c r="AA22" i="15" s="1"/>
  <c r="AB22" i="15" s="1"/>
  <c r="AC22" i="15" s="1"/>
  <c r="AD22" i="15" s="1"/>
  <c r="AE22" i="15" s="1"/>
  <c r="B22" i="3"/>
  <c r="B22" i="14"/>
  <c r="C22" i="14" s="1"/>
  <c r="D22" i="14" s="1"/>
  <c r="E22" i="14" s="1"/>
  <c r="F22" i="14" s="1"/>
  <c r="G22" i="14" s="1"/>
  <c r="H22" i="14" s="1"/>
  <c r="I22" i="14" s="1"/>
  <c r="J22" i="14" s="1"/>
  <c r="K22" i="14" s="1"/>
  <c r="L22" i="14" s="1"/>
  <c r="M22" i="14" s="1"/>
  <c r="N22" i="14" s="1"/>
  <c r="O22" i="14" s="1"/>
  <c r="P22" i="14" s="1"/>
  <c r="Q22" i="14" s="1"/>
  <c r="R22" i="14" s="1"/>
  <c r="S22" i="14" s="1"/>
  <c r="T22" i="14" s="1"/>
  <c r="U22" i="14" s="1"/>
  <c r="V22" i="14" s="1"/>
  <c r="W22" i="14" s="1"/>
  <c r="X22" i="14" s="1"/>
  <c r="Y22" i="14" s="1"/>
  <c r="Z22" i="14" s="1"/>
  <c r="AA22" i="14" s="1"/>
  <c r="AB22" i="14" s="1"/>
  <c r="AC22" i="14" s="1"/>
  <c r="AD22" i="14" s="1"/>
  <c r="AE22" i="14" s="1"/>
  <c r="C1" i="15"/>
  <c r="B6" i="15"/>
  <c r="G38" i="15" s="1"/>
  <c r="B11" i="15"/>
  <c r="D9" i="15"/>
  <c r="E9" i="15" s="1"/>
  <c r="F9" i="15" s="1"/>
  <c r="G9" i="15" s="1"/>
  <c r="H9" i="15" s="1"/>
  <c r="I9" i="15" s="1"/>
  <c r="J9" i="15" s="1"/>
  <c r="K9" i="15" s="1"/>
  <c r="L9" i="15" s="1"/>
  <c r="M9" i="15" s="1"/>
  <c r="N9" i="15" s="1"/>
  <c r="O9" i="15" s="1"/>
  <c r="P9" i="15" s="1"/>
  <c r="Q9" i="15" s="1"/>
  <c r="R9" i="15" s="1"/>
  <c r="S9" i="15" s="1"/>
  <c r="T9" i="15" s="1"/>
  <c r="U9" i="15" s="1"/>
  <c r="V9" i="15" s="1"/>
  <c r="W9" i="15" s="1"/>
  <c r="X9" i="15" s="1"/>
  <c r="Y9" i="15" s="1"/>
  <c r="Z9" i="15" s="1"/>
  <c r="AA9" i="15" s="1"/>
  <c r="AB9" i="15" s="1"/>
  <c r="AC9" i="15" s="1"/>
  <c r="AD9" i="15" s="1"/>
  <c r="AE9" i="15" s="1"/>
  <c r="C9" i="15"/>
  <c r="Q4" i="15"/>
  <c r="P4" i="15"/>
  <c r="O4" i="15"/>
  <c r="N4" i="15"/>
  <c r="M4" i="15"/>
  <c r="L4" i="15"/>
  <c r="K4" i="15"/>
  <c r="J4" i="15"/>
  <c r="I4" i="15"/>
  <c r="B4" i="15"/>
  <c r="J2" i="15"/>
  <c r="K2" i="15" s="1"/>
  <c r="L2" i="15" s="1"/>
  <c r="M2" i="15" s="1"/>
  <c r="N2" i="15" s="1"/>
  <c r="O2" i="15" s="1"/>
  <c r="P2" i="15" s="1"/>
  <c r="Q2" i="15" s="1"/>
  <c r="I2" i="15"/>
  <c r="C1" i="3"/>
  <c r="B9" i="10"/>
  <c r="B3" i="10"/>
  <c r="C1" i="14"/>
  <c r="C30" i="3"/>
  <c r="D30" i="3" s="1"/>
  <c r="E30" i="3" s="1"/>
  <c r="F30" i="3" s="1"/>
  <c r="G30" i="3" s="1"/>
  <c r="H30" i="3" s="1"/>
  <c r="I30" i="3" s="1"/>
  <c r="J30" i="3" s="1"/>
  <c r="K30" i="3" s="1"/>
  <c r="L30" i="3" s="1"/>
  <c r="M30" i="3" s="1"/>
  <c r="N30" i="3" s="1"/>
  <c r="O30" i="3" s="1"/>
  <c r="P30" i="3" s="1"/>
  <c r="Q30" i="3" s="1"/>
  <c r="R30" i="3" s="1"/>
  <c r="S30" i="3" s="1"/>
  <c r="T30" i="3" s="1"/>
  <c r="U30" i="3" s="1"/>
  <c r="V30" i="3" s="1"/>
  <c r="W30" i="3" s="1"/>
  <c r="X30" i="3" s="1"/>
  <c r="Y30" i="3" s="1"/>
  <c r="Z30" i="3" s="1"/>
  <c r="AA30" i="3" s="1"/>
  <c r="AB30" i="3" s="1"/>
  <c r="AC30" i="3" s="1"/>
  <c r="AD30" i="3" s="1"/>
  <c r="AE30" i="3" s="1"/>
  <c r="B11" i="14"/>
  <c r="C9" i="14"/>
  <c r="D9" i="14" s="1"/>
  <c r="E9" i="14" s="1"/>
  <c r="F9" i="14" s="1"/>
  <c r="G9" i="14" s="1"/>
  <c r="H9" i="14" s="1"/>
  <c r="I9" i="14" s="1"/>
  <c r="J9" i="14" s="1"/>
  <c r="K9" i="14" s="1"/>
  <c r="L9" i="14" s="1"/>
  <c r="M9" i="14" s="1"/>
  <c r="N9" i="14" s="1"/>
  <c r="O9" i="14" s="1"/>
  <c r="P9" i="14" s="1"/>
  <c r="Q9" i="14" s="1"/>
  <c r="R9" i="14" s="1"/>
  <c r="S9" i="14" s="1"/>
  <c r="T9" i="14" s="1"/>
  <c r="U9" i="14" s="1"/>
  <c r="V9" i="14" s="1"/>
  <c r="W9" i="14" s="1"/>
  <c r="X9" i="14" s="1"/>
  <c r="Y9" i="14" s="1"/>
  <c r="Z9" i="14" s="1"/>
  <c r="AA9" i="14" s="1"/>
  <c r="AB9" i="14" s="1"/>
  <c r="AC9" i="14" s="1"/>
  <c r="AD9" i="14" s="1"/>
  <c r="AE9" i="14" s="1"/>
  <c r="B6" i="14"/>
  <c r="Q4" i="14"/>
  <c r="P4" i="14"/>
  <c r="O4" i="14"/>
  <c r="N4" i="14"/>
  <c r="M4" i="14"/>
  <c r="L4" i="14"/>
  <c r="K4" i="14"/>
  <c r="J4" i="14"/>
  <c r="I4" i="14"/>
  <c r="B4" i="14"/>
  <c r="I2" i="14"/>
  <c r="J2" i="14" s="1"/>
  <c r="K2" i="14" s="1"/>
  <c r="L2" i="14" s="1"/>
  <c r="M2" i="14" s="1"/>
  <c r="N2" i="14" s="1"/>
  <c r="O2" i="14" s="1"/>
  <c r="P2" i="14" s="1"/>
  <c r="Q2" i="14" s="1"/>
  <c r="A1" i="10"/>
  <c r="E3" i="7"/>
  <c r="E5" i="7"/>
  <c r="E4" i="7"/>
  <c r="B6" i="3"/>
  <c r="AE9" i="13"/>
  <c r="AE10" i="13"/>
  <c r="AE11" i="13"/>
  <c r="AA9" i="13"/>
  <c r="AB9" i="13"/>
  <c r="AC9" i="13"/>
  <c r="AD9" i="13"/>
  <c r="AA10" i="13"/>
  <c r="AB10" i="13"/>
  <c r="AC10" i="13"/>
  <c r="AD10" i="13"/>
  <c r="AA11" i="13"/>
  <c r="AB11" i="13"/>
  <c r="AC11" i="13"/>
  <c r="AD11" i="13"/>
  <c r="C11" i="17" l="1"/>
  <c r="D11" i="17" s="1"/>
  <c r="E11" i="17" s="1"/>
  <c r="F11" i="17" s="1"/>
  <c r="G11" i="17" s="1"/>
  <c r="H11" i="17" s="1"/>
  <c r="I11" i="17" s="1"/>
  <c r="J11" i="17" s="1"/>
  <c r="K11" i="17" s="1"/>
  <c r="L11" i="17" s="1"/>
  <c r="M11" i="17" s="1"/>
  <c r="N11" i="17" s="1"/>
  <c r="O11" i="17" s="1"/>
  <c r="P11" i="17" s="1"/>
  <c r="Q11" i="17" s="1"/>
  <c r="R11" i="17" s="1"/>
  <c r="S11" i="17" s="1"/>
  <c r="T11" i="17" s="1"/>
  <c r="U11" i="17" s="1"/>
  <c r="V11" i="17" s="1"/>
  <c r="W11" i="17" s="1"/>
  <c r="X11" i="17" s="1"/>
  <c r="Y11" i="17" s="1"/>
  <c r="Z11" i="17" s="1"/>
  <c r="AA11" i="17" s="1"/>
  <c r="AB11" i="17" s="1"/>
  <c r="AC11" i="17" s="1"/>
  <c r="AD11" i="17" s="1"/>
  <c r="AE11" i="17" s="1"/>
  <c r="G44" i="17"/>
  <c r="H44" i="17" s="1"/>
  <c r="I44" i="17" s="1"/>
  <c r="J44" i="17" s="1"/>
  <c r="K44" i="17" s="1"/>
  <c r="L44" i="17" s="1"/>
  <c r="M44" i="17" s="1"/>
  <c r="N44" i="17" s="1"/>
  <c r="O44" i="17" s="1"/>
  <c r="P44" i="17" s="1"/>
  <c r="Q44" i="17" s="1"/>
  <c r="R44" i="17" s="1"/>
  <c r="S44" i="17" s="1"/>
  <c r="T44" i="17" s="1"/>
  <c r="U44" i="17" s="1"/>
  <c r="V44" i="17" s="1"/>
  <c r="W44" i="17" s="1"/>
  <c r="X44" i="17" s="1"/>
  <c r="Y44" i="17" s="1"/>
  <c r="Z44" i="17" s="1"/>
  <c r="AA44" i="17" s="1"/>
  <c r="AB44" i="17" s="1"/>
  <c r="AC44" i="17" s="1"/>
  <c r="AD44" i="17" s="1"/>
  <c r="AE44" i="17" s="1"/>
  <c r="B8" i="17"/>
  <c r="B13" i="17" s="1"/>
  <c r="G43" i="17"/>
  <c r="H43" i="17" s="1"/>
  <c r="I43" i="17" s="1"/>
  <c r="J43" i="17" s="1"/>
  <c r="K43" i="17" s="1"/>
  <c r="L43" i="17" s="1"/>
  <c r="M43" i="17" s="1"/>
  <c r="N43" i="17" s="1"/>
  <c r="O43" i="17" s="1"/>
  <c r="P43" i="17" s="1"/>
  <c r="Q43" i="17" s="1"/>
  <c r="R43" i="17" s="1"/>
  <c r="S43" i="17" s="1"/>
  <c r="T43" i="17" s="1"/>
  <c r="U43" i="17" s="1"/>
  <c r="V43" i="17" s="1"/>
  <c r="W43" i="17" s="1"/>
  <c r="X43" i="17" s="1"/>
  <c r="Y43" i="17" s="1"/>
  <c r="Z43" i="17" s="1"/>
  <c r="AA43" i="17" s="1"/>
  <c r="AB43" i="17" s="1"/>
  <c r="AC43" i="17" s="1"/>
  <c r="AD43" i="17" s="1"/>
  <c r="AE43" i="17" s="1"/>
  <c r="S4" i="15"/>
  <c r="B10" i="15" s="1"/>
  <c r="C10" i="15" s="1"/>
  <c r="D10" i="15" s="1"/>
  <c r="E10" i="15" s="1"/>
  <c r="F10" i="15" s="1"/>
  <c r="G10" i="15" s="1"/>
  <c r="H10" i="15" s="1"/>
  <c r="I10" i="15" s="1"/>
  <c r="J10" i="15" s="1"/>
  <c r="K10" i="15" s="1"/>
  <c r="L10" i="15" s="1"/>
  <c r="M10" i="15" s="1"/>
  <c r="N10" i="15" s="1"/>
  <c r="O10" i="15" s="1"/>
  <c r="P10" i="15" s="1"/>
  <c r="Q10" i="15" s="1"/>
  <c r="R10" i="15" s="1"/>
  <c r="S10" i="15" s="1"/>
  <c r="T10" i="15" s="1"/>
  <c r="U10" i="15" s="1"/>
  <c r="V10" i="15" s="1"/>
  <c r="W10" i="15" s="1"/>
  <c r="X10" i="15" s="1"/>
  <c r="Y10" i="15" s="1"/>
  <c r="Z10" i="15" s="1"/>
  <c r="AA10" i="15" s="1"/>
  <c r="AB10" i="15" s="1"/>
  <c r="AC10" i="15" s="1"/>
  <c r="AD10" i="15" s="1"/>
  <c r="AE10" i="15" s="1"/>
  <c r="G39" i="15"/>
  <c r="H39" i="15" s="1"/>
  <c r="I39" i="15" s="1"/>
  <c r="J39" i="15" s="1"/>
  <c r="K39" i="15" s="1"/>
  <c r="L39" i="15" s="1"/>
  <c r="M39" i="15" s="1"/>
  <c r="N39" i="15" s="1"/>
  <c r="O39" i="15" s="1"/>
  <c r="P39" i="15" s="1"/>
  <c r="Q39" i="15" s="1"/>
  <c r="R39" i="15" s="1"/>
  <c r="S39" i="15" s="1"/>
  <c r="T39" i="15" s="1"/>
  <c r="U39" i="15" s="1"/>
  <c r="V39" i="15" s="1"/>
  <c r="W39" i="15" s="1"/>
  <c r="X39" i="15" s="1"/>
  <c r="Y39" i="15" s="1"/>
  <c r="Z39" i="15" s="1"/>
  <c r="AA39" i="15" s="1"/>
  <c r="AB39" i="15" s="1"/>
  <c r="AC39" i="15" s="1"/>
  <c r="AD39" i="15" s="1"/>
  <c r="AE39" i="15" s="1"/>
  <c r="H38" i="15"/>
  <c r="I38" i="15" s="1"/>
  <c r="J38" i="15" s="1"/>
  <c r="K38" i="15" s="1"/>
  <c r="L38" i="15" s="1"/>
  <c r="M38" i="15" s="1"/>
  <c r="N38" i="15" s="1"/>
  <c r="O38" i="15" s="1"/>
  <c r="P38" i="15" s="1"/>
  <c r="Q38" i="15" s="1"/>
  <c r="R38" i="15" s="1"/>
  <c r="S38" i="15" s="1"/>
  <c r="T38" i="15" s="1"/>
  <c r="U38" i="15" s="1"/>
  <c r="V38" i="15" s="1"/>
  <c r="W38" i="15" s="1"/>
  <c r="X38" i="15" s="1"/>
  <c r="Y38" i="15" s="1"/>
  <c r="Z38" i="15" s="1"/>
  <c r="AA38" i="15" s="1"/>
  <c r="AB38" i="15" s="1"/>
  <c r="AC38" i="15" s="1"/>
  <c r="AD38" i="15" s="1"/>
  <c r="AE38" i="15" s="1"/>
  <c r="B7" i="15"/>
  <c r="B12" i="15" s="1"/>
  <c r="B16" i="15" s="1"/>
  <c r="S4" i="14"/>
  <c r="B10" i="14" s="1"/>
  <c r="C10" i="14"/>
  <c r="D10" i="14" s="1"/>
  <c r="E10" i="14" s="1"/>
  <c r="F10" i="14" s="1"/>
  <c r="G10" i="14" s="1"/>
  <c r="H10" i="14" s="1"/>
  <c r="I10" i="14" s="1"/>
  <c r="J10" i="14" s="1"/>
  <c r="K10" i="14" s="1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V10" i="14" s="1"/>
  <c r="W10" i="14" s="1"/>
  <c r="X10" i="14" s="1"/>
  <c r="Y10" i="14" s="1"/>
  <c r="Z10" i="14" s="1"/>
  <c r="AA10" i="14" s="1"/>
  <c r="AB10" i="14" s="1"/>
  <c r="AC10" i="14" s="1"/>
  <c r="AD10" i="14" s="1"/>
  <c r="AE10" i="14" s="1"/>
  <c r="C11" i="14"/>
  <c r="G39" i="14"/>
  <c r="H39" i="14" s="1"/>
  <c r="I39" i="14" s="1"/>
  <c r="J39" i="14" s="1"/>
  <c r="K39" i="14" s="1"/>
  <c r="L39" i="14" s="1"/>
  <c r="M39" i="14" s="1"/>
  <c r="N39" i="14" s="1"/>
  <c r="O39" i="14" s="1"/>
  <c r="P39" i="14" s="1"/>
  <c r="Q39" i="14" s="1"/>
  <c r="R39" i="14" s="1"/>
  <c r="S39" i="14" s="1"/>
  <c r="T39" i="14" s="1"/>
  <c r="U39" i="14" s="1"/>
  <c r="V39" i="14" s="1"/>
  <c r="W39" i="14" s="1"/>
  <c r="X39" i="14" s="1"/>
  <c r="Y39" i="14" s="1"/>
  <c r="Z39" i="14" s="1"/>
  <c r="AA39" i="14" s="1"/>
  <c r="AB39" i="14" s="1"/>
  <c r="AC39" i="14" s="1"/>
  <c r="AD39" i="14" s="1"/>
  <c r="AE39" i="14" s="1"/>
  <c r="G38" i="14"/>
  <c r="H38" i="14" s="1"/>
  <c r="I38" i="14" s="1"/>
  <c r="J38" i="14" s="1"/>
  <c r="K38" i="14" s="1"/>
  <c r="L38" i="14" s="1"/>
  <c r="M38" i="14" s="1"/>
  <c r="N38" i="14" s="1"/>
  <c r="O38" i="14" s="1"/>
  <c r="P38" i="14" s="1"/>
  <c r="Q38" i="14" s="1"/>
  <c r="R38" i="14" s="1"/>
  <c r="S38" i="14" s="1"/>
  <c r="T38" i="14" s="1"/>
  <c r="U38" i="14" s="1"/>
  <c r="V38" i="14" s="1"/>
  <c r="W38" i="14" s="1"/>
  <c r="X38" i="14" s="1"/>
  <c r="Y38" i="14" s="1"/>
  <c r="Z38" i="14" s="1"/>
  <c r="AA38" i="14" s="1"/>
  <c r="AB38" i="14" s="1"/>
  <c r="AC38" i="14" s="1"/>
  <c r="AD38" i="14" s="1"/>
  <c r="AE38" i="14" s="1"/>
  <c r="B7" i="14"/>
  <c r="B12" i="14" s="1"/>
  <c r="B13" i="14" l="1"/>
  <c r="B16" i="14"/>
  <c r="B15" i="17"/>
  <c r="B18" i="17"/>
  <c r="C12" i="17"/>
  <c r="D12" i="17" s="1"/>
  <c r="C11" i="15"/>
  <c r="B13" i="15"/>
  <c r="D11" i="14"/>
  <c r="B20" i="17" l="1"/>
  <c r="B21" i="17" s="1"/>
  <c r="B23" i="17"/>
  <c r="E12" i="17"/>
  <c r="B18" i="15"/>
  <c r="B19" i="15" s="1"/>
  <c r="B21" i="15" s="1"/>
  <c r="D11" i="15"/>
  <c r="E11" i="14"/>
  <c r="B18" i="14"/>
  <c r="B19" i="14" s="1"/>
  <c r="B24" i="17" l="1"/>
  <c r="F12" i="17"/>
  <c r="E11" i="15"/>
  <c r="F11" i="14"/>
  <c r="G12" i="17" l="1"/>
  <c r="F11" i="15"/>
  <c r="G11" i="14"/>
  <c r="H12" i="17" l="1"/>
  <c r="G11" i="15"/>
  <c r="H11" i="14"/>
  <c r="I12" i="17" l="1"/>
  <c r="H11" i="15"/>
  <c r="I11" i="14"/>
  <c r="J12" i="17" l="1"/>
  <c r="I11" i="15"/>
  <c r="J11" i="14"/>
  <c r="K12" i="17" l="1"/>
  <c r="J11" i="15"/>
  <c r="K11" i="14"/>
  <c r="L12" i="17" l="1"/>
  <c r="K11" i="15"/>
  <c r="L11" i="14"/>
  <c r="M12" i="17" l="1"/>
  <c r="L11" i="15"/>
  <c r="M11" i="14"/>
  <c r="N12" i="17" l="1"/>
  <c r="M11" i="15"/>
  <c r="N11" i="14"/>
  <c r="O12" i="17" l="1"/>
  <c r="N11" i="15"/>
  <c r="O11" i="14"/>
  <c r="P12" i="17" l="1"/>
  <c r="O11" i="15"/>
  <c r="P11" i="14"/>
  <c r="Q12" i="17" l="1"/>
  <c r="P11" i="15"/>
  <c r="Q11" i="14"/>
  <c r="R12" i="17" l="1"/>
  <c r="Q11" i="15"/>
  <c r="R11" i="14"/>
  <c r="S12" i="17" l="1"/>
  <c r="R11" i="15"/>
  <c r="S11" i="14"/>
  <c r="T12" i="17" l="1"/>
  <c r="S11" i="15"/>
  <c r="T11" i="14"/>
  <c r="U12" i="17" l="1"/>
  <c r="T11" i="15"/>
  <c r="U11" i="14"/>
  <c r="V12" i="17" l="1"/>
  <c r="U11" i="15"/>
  <c r="V11" i="14"/>
  <c r="W12" i="17" l="1"/>
  <c r="V11" i="15"/>
  <c r="W11" i="14"/>
  <c r="X12" i="17" l="1"/>
  <c r="W11" i="15"/>
  <c r="X11" i="14"/>
  <c r="Y12" i="17" l="1"/>
  <c r="X11" i="15"/>
  <c r="Y11" i="14"/>
  <c r="Z12" i="17" l="1"/>
  <c r="Y11" i="15"/>
  <c r="Z11" i="14"/>
  <c r="AA12" i="17" l="1"/>
  <c r="Z11" i="15"/>
  <c r="AA11" i="14"/>
  <c r="AB12" i="17" l="1"/>
  <c r="AA11" i="15"/>
  <c r="AB11" i="14"/>
  <c r="AC12" i="17" l="1"/>
  <c r="AB11" i="15"/>
  <c r="AC11" i="14"/>
  <c r="AD12" i="17" l="1"/>
  <c r="AC11" i="15"/>
  <c r="AD11" i="14"/>
  <c r="AE12" i="17" l="1"/>
  <c r="AD11" i="15"/>
  <c r="AE11" i="14"/>
  <c r="AE11" i="15" l="1"/>
  <c r="C8" i="13" l="1"/>
  <c r="D8" i="13" s="1"/>
  <c r="E8" i="13" s="1"/>
  <c r="F8" i="13" s="1"/>
  <c r="G8" i="13" s="1"/>
  <c r="H8" i="13" s="1"/>
  <c r="I8" i="13" s="1"/>
  <c r="J8" i="13" s="1"/>
  <c r="K8" i="13" s="1"/>
  <c r="L8" i="13" s="1"/>
  <c r="M8" i="13" s="1"/>
  <c r="N8" i="13" s="1"/>
  <c r="O8" i="13" s="1"/>
  <c r="P8" i="13" s="1"/>
  <c r="Q8" i="13" s="1"/>
  <c r="R8" i="13" s="1"/>
  <c r="S8" i="13" s="1"/>
  <c r="T8" i="13" s="1"/>
  <c r="U8" i="13" s="1"/>
  <c r="V8" i="13" s="1"/>
  <c r="W8" i="13" s="1"/>
  <c r="X8" i="13" s="1"/>
  <c r="Y8" i="13" s="1"/>
  <c r="Z8" i="13" s="1"/>
  <c r="AA8" i="13" s="1"/>
  <c r="AB8" i="13" s="1"/>
  <c r="AC8" i="13" s="1"/>
  <c r="AD8" i="13" s="1"/>
  <c r="AE8" i="13" s="1"/>
  <c r="H1" i="13"/>
  <c r="C2" i="10"/>
  <c r="B8" i="10"/>
  <c r="N22" i="12"/>
  <c r="M22" i="12"/>
  <c r="L22" i="12"/>
  <c r="G22" i="12"/>
  <c r="F22" i="12"/>
  <c r="E22" i="12"/>
  <c r="D22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18" i="12"/>
  <c r="C19" i="12" s="1"/>
  <c r="B8" i="12"/>
  <c r="B3" i="12"/>
  <c r="C4" i="12" s="1"/>
  <c r="B8" i="11"/>
  <c r="B3" i="11"/>
  <c r="C4" i="11" s="1"/>
  <c r="C1" i="10"/>
  <c r="D1" i="10" s="1"/>
  <c r="E1" i="10" s="1"/>
  <c r="F1" i="10" s="1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B4" i="9"/>
  <c r="C5" i="9" s="1"/>
  <c r="C7" i="9"/>
  <c r="C8" i="9" s="1"/>
  <c r="D7" i="9"/>
  <c r="D8" i="9" s="1"/>
  <c r="E7" i="9"/>
  <c r="F7" i="9"/>
  <c r="G7" i="9"/>
  <c r="G8" i="9" s="1"/>
  <c r="H7" i="9"/>
  <c r="I7" i="9"/>
  <c r="J7" i="9"/>
  <c r="J8" i="9" s="1"/>
  <c r="K7" i="9"/>
  <c r="K8" i="9" s="1"/>
  <c r="L7" i="9"/>
  <c r="L8" i="9" s="1"/>
  <c r="M7" i="9"/>
  <c r="M8" i="9" s="1"/>
  <c r="N7" i="9"/>
  <c r="E8" i="9"/>
  <c r="F8" i="9"/>
  <c r="H8" i="9"/>
  <c r="I8" i="9"/>
  <c r="N8" i="9"/>
  <c r="D2" i="10" l="1"/>
  <c r="C8" i="10"/>
  <c r="D8" i="10" s="1"/>
  <c r="E8" i="10" s="1"/>
  <c r="F8" i="10" s="1"/>
  <c r="G8" i="10" s="1"/>
  <c r="H8" i="10" s="1"/>
  <c r="I8" i="10" s="1"/>
  <c r="J8" i="10" s="1"/>
  <c r="K8" i="10" s="1"/>
  <c r="L8" i="10" s="1"/>
  <c r="M8" i="10" s="1"/>
  <c r="N8" i="10" s="1"/>
  <c r="O8" i="10" s="1"/>
  <c r="P8" i="10" s="1"/>
  <c r="Q8" i="10" s="1"/>
  <c r="R8" i="10" s="1"/>
  <c r="S8" i="10" s="1"/>
  <c r="T8" i="10" s="1"/>
  <c r="U8" i="10" s="1"/>
  <c r="V8" i="10" s="1"/>
  <c r="W8" i="10" s="1"/>
  <c r="X8" i="10" s="1"/>
  <c r="Y8" i="10" s="1"/>
  <c r="Z8" i="10" s="1"/>
  <c r="AA8" i="10" s="1"/>
  <c r="AB8" i="10" s="1"/>
  <c r="AC8" i="10" s="1"/>
  <c r="AD8" i="10" s="1"/>
  <c r="AE8" i="10" s="1"/>
  <c r="A7" i="10"/>
  <c r="B6" i="13"/>
  <c r="D4" i="12"/>
  <c r="C8" i="12"/>
  <c r="C6" i="12"/>
  <c r="D19" i="12"/>
  <c r="C23" i="12"/>
  <c r="H22" i="12"/>
  <c r="J22" i="12"/>
  <c r="I22" i="12"/>
  <c r="C22" i="12"/>
  <c r="C24" i="12" s="1"/>
  <c r="C25" i="12" s="1"/>
  <c r="C27" i="12" s="1"/>
  <c r="K22" i="12"/>
  <c r="D4" i="11"/>
  <c r="C8" i="11"/>
  <c r="C6" i="11"/>
  <c r="D5" i="9"/>
  <c r="C9" i="9"/>
  <c r="C10" i="9"/>
  <c r="C11" i="9" s="1"/>
  <c r="C13" i="9" s="1"/>
  <c r="E2" i="10" l="1"/>
  <c r="C29" i="12"/>
  <c r="C30" i="12" s="1"/>
  <c r="C7" i="12"/>
  <c r="C9" i="12" s="1"/>
  <c r="C10" i="12" s="1"/>
  <c r="C11" i="12" s="1"/>
  <c r="E19" i="12"/>
  <c r="D23" i="12"/>
  <c r="D24" i="12" s="1"/>
  <c r="D25" i="12" s="1"/>
  <c r="D27" i="12" s="1"/>
  <c r="D8" i="12"/>
  <c r="E4" i="12"/>
  <c r="D6" i="12"/>
  <c r="C7" i="11"/>
  <c r="C9" i="11" s="1"/>
  <c r="C10" i="11" s="1"/>
  <c r="C11" i="11" s="1"/>
  <c r="E4" i="11"/>
  <c r="D8" i="11"/>
  <c r="D6" i="11"/>
  <c r="C15" i="9"/>
  <c r="C16" i="9" s="1"/>
  <c r="E5" i="9"/>
  <c r="D9" i="9"/>
  <c r="D10" i="9" s="1"/>
  <c r="D11" i="9" s="1"/>
  <c r="D13" i="9" s="1"/>
  <c r="C22" i="3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T22" i="3" s="1"/>
  <c r="U22" i="3" s="1"/>
  <c r="V22" i="3" s="1"/>
  <c r="W22" i="3" s="1"/>
  <c r="X22" i="3" s="1"/>
  <c r="Y22" i="3" s="1"/>
  <c r="Z22" i="3" s="1"/>
  <c r="AA22" i="3" s="1"/>
  <c r="AB22" i="3" s="1"/>
  <c r="AC22" i="3" s="1"/>
  <c r="AD22" i="3" s="1"/>
  <c r="AE22" i="3" s="1"/>
  <c r="B11" i="3"/>
  <c r="I2" i="3"/>
  <c r="J2" i="3" s="1"/>
  <c r="K2" i="3" s="1"/>
  <c r="L2" i="3" s="1"/>
  <c r="M2" i="3" s="1"/>
  <c r="N2" i="3" s="1"/>
  <c r="O2" i="3" s="1"/>
  <c r="P2" i="3" s="1"/>
  <c r="Q2" i="3" s="1"/>
  <c r="J4" i="3"/>
  <c r="K4" i="3"/>
  <c r="L4" i="3"/>
  <c r="M4" i="3"/>
  <c r="N4" i="3"/>
  <c r="O4" i="3"/>
  <c r="P4" i="3"/>
  <c r="Q4" i="3"/>
  <c r="I4" i="3"/>
  <c r="B4" i="3"/>
  <c r="C9" i="3"/>
  <c r="D9" i="3" s="1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F2" i="10" l="1"/>
  <c r="B7" i="3"/>
  <c r="B12" i="3" s="1"/>
  <c r="B16" i="3" s="1"/>
  <c r="C13" i="12"/>
  <c r="C14" i="12" s="1"/>
  <c r="F19" i="12"/>
  <c r="E23" i="12"/>
  <c r="E24" i="12" s="1"/>
  <c r="E25" i="12" s="1"/>
  <c r="E27" i="12" s="1"/>
  <c r="D7" i="12"/>
  <c r="D9" i="12" s="1"/>
  <c r="D10" i="12" s="1"/>
  <c r="D11" i="12" s="1"/>
  <c r="E6" i="12"/>
  <c r="E8" i="12"/>
  <c r="F4" i="12"/>
  <c r="D29" i="12"/>
  <c r="D30" i="12" s="1"/>
  <c r="C13" i="11"/>
  <c r="C14" i="11" s="1"/>
  <c r="D7" i="11"/>
  <c r="D9" i="11"/>
  <c r="D10" i="11" s="1"/>
  <c r="D11" i="11" s="1"/>
  <c r="E8" i="11"/>
  <c r="E6" i="11"/>
  <c r="F4" i="11"/>
  <c r="E9" i="9"/>
  <c r="E10" i="9" s="1"/>
  <c r="E11" i="9" s="1"/>
  <c r="E13" i="9" s="1"/>
  <c r="F5" i="9"/>
  <c r="D15" i="9"/>
  <c r="D16" i="9" s="1"/>
  <c r="S4" i="3"/>
  <c r="B10" i="3" s="1"/>
  <c r="C11" i="3" s="1"/>
  <c r="AI11" i="7"/>
  <c r="Z11" i="13" s="1"/>
  <c r="K8" i="7"/>
  <c r="G2" i="10" l="1"/>
  <c r="B13" i="3"/>
  <c r="G38" i="3"/>
  <c r="H38" i="3" s="1"/>
  <c r="I38" i="3" s="1"/>
  <c r="J38" i="3" s="1"/>
  <c r="K38" i="3" s="1"/>
  <c r="L38" i="3" s="1"/>
  <c r="M38" i="3" s="1"/>
  <c r="N38" i="3" s="1"/>
  <c r="O38" i="3" s="1"/>
  <c r="P38" i="3" s="1"/>
  <c r="Q38" i="3" s="1"/>
  <c r="R38" i="3" s="1"/>
  <c r="S38" i="3" s="1"/>
  <c r="T38" i="3" s="1"/>
  <c r="U38" i="3" s="1"/>
  <c r="V38" i="3" s="1"/>
  <c r="W38" i="3" s="1"/>
  <c r="X38" i="3" s="1"/>
  <c r="Y38" i="3" s="1"/>
  <c r="Z38" i="3" s="1"/>
  <c r="AA38" i="3" s="1"/>
  <c r="AB38" i="3" s="1"/>
  <c r="AC38" i="3" s="1"/>
  <c r="AD38" i="3" s="1"/>
  <c r="AE38" i="3" s="1"/>
  <c r="G39" i="3"/>
  <c r="H39" i="3" s="1"/>
  <c r="I39" i="3" s="1"/>
  <c r="J39" i="3" s="1"/>
  <c r="K39" i="3" s="1"/>
  <c r="L39" i="3" s="1"/>
  <c r="D13" i="12"/>
  <c r="D14" i="12" s="1"/>
  <c r="E7" i="12"/>
  <c r="E9" i="12" s="1"/>
  <c r="E10" i="12" s="1"/>
  <c r="E11" i="12" s="1"/>
  <c r="E29" i="12"/>
  <c r="E30" i="12" s="1"/>
  <c r="F23" i="12"/>
  <c r="F24" i="12" s="1"/>
  <c r="F25" i="12" s="1"/>
  <c r="F27" i="12" s="1"/>
  <c r="G19" i="12"/>
  <c r="G4" i="12"/>
  <c r="F8" i="12"/>
  <c r="F6" i="12"/>
  <c r="D13" i="11"/>
  <c r="D14" i="11"/>
  <c r="B18" i="3"/>
  <c r="B19" i="3" s="1"/>
  <c r="F8" i="11"/>
  <c r="F6" i="11"/>
  <c r="G4" i="11"/>
  <c r="E7" i="11"/>
  <c r="E9" i="11"/>
  <c r="E10" i="11" s="1"/>
  <c r="E11" i="11" s="1"/>
  <c r="G5" i="9"/>
  <c r="F9" i="9"/>
  <c r="F10" i="9" s="1"/>
  <c r="F11" i="9" s="1"/>
  <c r="F13" i="9" s="1"/>
  <c r="E15" i="9"/>
  <c r="E16" i="9" s="1"/>
  <c r="C10" i="3"/>
  <c r="D10" i="3" s="1"/>
  <c r="E10" i="3" s="1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E9" i="7"/>
  <c r="E201" i="7" s="1"/>
  <c r="E10" i="7"/>
  <c r="H2" i="10" l="1"/>
  <c r="E13" i="12"/>
  <c r="E14" i="12" s="1"/>
  <c r="G23" i="12"/>
  <c r="G24" i="12" s="1"/>
  <c r="G25" i="12" s="1"/>
  <c r="G27" i="12" s="1"/>
  <c r="H19" i="12"/>
  <c r="F29" i="12"/>
  <c r="F30" i="12" s="1"/>
  <c r="F7" i="12"/>
  <c r="F9" i="12" s="1"/>
  <c r="F10" i="12" s="1"/>
  <c r="F11" i="12" s="1"/>
  <c r="G8" i="12"/>
  <c r="H4" i="12"/>
  <c r="G6" i="12"/>
  <c r="E13" i="11"/>
  <c r="E14" i="11"/>
  <c r="F7" i="11"/>
  <c r="F9" i="11" s="1"/>
  <c r="F10" i="11" s="1"/>
  <c r="F11" i="11" s="1"/>
  <c r="G8" i="11"/>
  <c r="G6" i="11"/>
  <c r="H4" i="11"/>
  <c r="H5" i="9"/>
  <c r="G9" i="9"/>
  <c r="G10" i="9" s="1"/>
  <c r="G11" i="9" s="1"/>
  <c r="G13" i="9" s="1"/>
  <c r="F15" i="9"/>
  <c r="F16" i="9" s="1"/>
  <c r="M39" i="3"/>
  <c r="D11" i="3"/>
  <c r="E8" i="7"/>
  <c r="K3" i="7" s="1"/>
  <c r="K5" i="7" s="1"/>
  <c r="K9" i="7" s="1"/>
  <c r="B9" i="13" s="1"/>
  <c r="C258" i="7"/>
  <c r="F299" i="7"/>
  <c r="B264" i="7"/>
  <c r="F363" i="7"/>
  <c r="B316" i="7"/>
  <c r="E312" i="7"/>
  <c r="F307" i="7"/>
  <c r="B361" i="7"/>
  <c r="C327" i="7"/>
  <c r="H313" i="7"/>
  <c r="B330" i="7"/>
  <c r="D297" i="7"/>
  <c r="D342" i="7"/>
  <c r="C307" i="7"/>
  <c r="E353" i="7"/>
  <c r="C365" i="7"/>
  <c r="B342" i="7"/>
  <c r="B301" i="7"/>
  <c r="C288" i="7"/>
  <c r="H334" i="7"/>
  <c r="F244" i="7"/>
  <c r="F253" i="7"/>
  <c r="C287" i="7"/>
  <c r="D321" i="7"/>
  <c r="B249" i="7"/>
  <c r="C314" i="7"/>
  <c r="E281" i="7"/>
  <c r="E345" i="7"/>
  <c r="H239" i="7"/>
  <c r="B306" i="7"/>
  <c r="E340" i="7"/>
  <c r="B352" i="7"/>
  <c r="B343" i="7"/>
  <c r="C202" i="7"/>
  <c r="E343" i="7"/>
  <c r="F352" i="7"/>
  <c r="C320" i="7"/>
  <c r="D334" i="7"/>
  <c r="E368" i="7"/>
  <c r="H186" i="7"/>
  <c r="H329" i="7"/>
  <c r="G322" i="7"/>
  <c r="C325" i="7"/>
  <c r="H283" i="7"/>
  <c r="D295" i="7"/>
  <c r="B310" i="7"/>
  <c r="E320" i="7"/>
  <c r="H280" i="7"/>
  <c r="G368" i="7"/>
  <c r="B223" i="7"/>
  <c r="C221" i="7"/>
  <c r="C321" i="7"/>
  <c r="C368" i="7"/>
  <c r="G358" i="7"/>
  <c r="G178" i="7"/>
  <c r="G286" i="7"/>
  <c r="G317" i="7"/>
  <c r="F349" i="7"/>
  <c r="H364" i="7"/>
  <c r="C282" i="7"/>
  <c r="F346" i="7"/>
  <c r="F300" i="7"/>
  <c r="H325" i="7"/>
  <c r="G245" i="7"/>
  <c r="C328" i="7"/>
  <c r="H270" i="7"/>
  <c r="B242" i="7"/>
  <c r="F255" i="7"/>
  <c r="G339" i="7"/>
  <c r="B312" i="7"/>
  <c r="E267" i="7"/>
  <c r="D340" i="7"/>
  <c r="F368" i="7"/>
  <c r="B327" i="7"/>
  <c r="B188" i="7"/>
  <c r="H281" i="7"/>
  <c r="G309" i="7"/>
  <c r="E324" i="7"/>
  <c r="F286" i="7"/>
  <c r="H314" i="7"/>
  <c r="C294" i="7"/>
  <c r="F284" i="7"/>
  <c r="H366" i="7"/>
  <c r="G285" i="7"/>
  <c r="G198" i="7"/>
  <c r="H207" i="7"/>
  <c r="F218" i="7"/>
  <c r="E198" i="7"/>
  <c r="E357" i="7"/>
  <c r="B189" i="7"/>
  <c r="F333" i="7"/>
  <c r="F313" i="7"/>
  <c r="E290" i="7"/>
  <c r="E304" i="7"/>
  <c r="C319" i="7"/>
  <c r="G253" i="7"/>
  <c r="B362" i="7"/>
  <c r="D332" i="7"/>
  <c r="H362" i="7"/>
  <c r="C283" i="7"/>
  <c r="G316" i="7"/>
  <c r="B234" i="7"/>
  <c r="C318" i="7"/>
  <c r="B238" i="7"/>
  <c r="H358" i="7"/>
  <c r="C324" i="7"/>
  <c r="C356" i="7"/>
  <c r="D360" i="7"/>
  <c r="G195" i="7"/>
  <c r="G319" i="7"/>
  <c r="F298" i="7"/>
  <c r="D248" i="7"/>
  <c r="F365" i="7"/>
  <c r="G343" i="7"/>
  <c r="C241" i="7"/>
  <c r="D307" i="7"/>
  <c r="H237" i="7"/>
  <c r="B353" i="7"/>
  <c r="E243" i="7"/>
  <c r="D366" i="7"/>
  <c r="D284" i="7"/>
  <c r="C313" i="7"/>
  <c r="B294" i="7"/>
  <c r="C299" i="7"/>
  <c r="G162" i="7"/>
  <c r="D249" i="7"/>
  <c r="F200" i="7"/>
  <c r="D333" i="7"/>
  <c r="F350" i="7"/>
  <c r="D339" i="7"/>
  <c r="E314" i="7"/>
  <c r="B317" i="7"/>
  <c r="E252" i="7"/>
  <c r="H336" i="7"/>
  <c r="D230" i="7"/>
  <c r="B227" i="7"/>
  <c r="F197" i="7"/>
  <c r="B292" i="7"/>
  <c r="B314" i="7"/>
  <c r="C330" i="7"/>
  <c r="D305" i="7"/>
  <c r="H307" i="7"/>
  <c r="D243" i="7"/>
  <c r="G327" i="7"/>
  <c r="B245" i="7"/>
  <c r="D238" i="7"/>
  <c r="E213" i="7"/>
  <c r="E279" i="7"/>
  <c r="C302" i="7"/>
  <c r="C352" i="7"/>
  <c r="D327" i="7"/>
  <c r="G262" i="7"/>
  <c r="F309" i="7"/>
  <c r="G284" i="7"/>
  <c r="C243" i="7"/>
  <c r="B290" i="7"/>
  <c r="E152" i="7"/>
  <c r="H318" i="7"/>
  <c r="B280" i="7"/>
  <c r="B288" i="7"/>
  <c r="C360" i="7"/>
  <c r="G362" i="7"/>
  <c r="B240" i="7"/>
  <c r="F317" i="7"/>
  <c r="H276" i="7"/>
  <c r="G272" i="7"/>
  <c r="B354" i="7"/>
  <c r="F360" i="7"/>
  <c r="E277" i="7"/>
  <c r="G367" i="7"/>
  <c r="C369" i="7"/>
  <c r="E280" i="7"/>
  <c r="H215" i="7"/>
  <c r="D300" i="7"/>
  <c r="F327" i="7"/>
  <c r="F296" i="7"/>
  <c r="C259" i="7"/>
  <c r="B311" i="7"/>
  <c r="C323" i="7"/>
  <c r="E220" i="7"/>
  <c r="B285" i="7"/>
  <c r="B319" i="7"/>
  <c r="F316" i="7"/>
  <c r="H296" i="7"/>
  <c r="F221" i="7"/>
  <c r="C286" i="7"/>
  <c r="E289" i="7"/>
  <c r="D290" i="7"/>
  <c r="B298" i="7"/>
  <c r="D34" i="7"/>
  <c r="D315" i="7"/>
  <c r="G359" i="7"/>
  <c r="B257" i="7"/>
  <c r="F321" i="7"/>
  <c r="F355" i="7"/>
  <c r="F354" i="7"/>
  <c r="F291" i="7"/>
  <c r="G291" i="7"/>
  <c r="H346" i="7"/>
  <c r="F270" i="7"/>
  <c r="C278" i="7"/>
  <c r="F282" i="7"/>
  <c r="B340" i="7"/>
  <c r="G354" i="7"/>
  <c r="B323" i="7"/>
  <c r="B337" i="7"/>
  <c r="C312" i="7"/>
  <c r="E261" i="7"/>
  <c r="E347" i="7"/>
  <c r="H179" i="7"/>
  <c r="E292" i="7"/>
  <c r="H275" i="7"/>
  <c r="D341" i="7"/>
  <c r="C331" i="7"/>
  <c r="F332" i="7"/>
  <c r="H340" i="7"/>
  <c r="G345" i="7"/>
  <c r="H297" i="7"/>
  <c r="C254" i="7"/>
  <c r="E247" i="7"/>
  <c r="F222" i="7"/>
  <c r="G363" i="7"/>
  <c r="E294" i="7"/>
  <c r="B322" i="7"/>
  <c r="E323" i="7"/>
  <c r="G331" i="7"/>
  <c r="F336" i="7"/>
  <c r="B276" i="7"/>
  <c r="B230" i="7"/>
  <c r="C262" i="7"/>
  <c r="B235" i="7"/>
  <c r="B341" i="7"/>
  <c r="C344" i="7"/>
  <c r="D370" i="7"/>
  <c r="C351" i="7"/>
  <c r="G312" i="7"/>
  <c r="E301" i="7"/>
  <c r="H302" i="7"/>
  <c r="G264" i="7"/>
  <c r="D260" i="7"/>
  <c r="E177" i="7"/>
  <c r="D267" i="7"/>
  <c r="G295" i="7"/>
  <c r="H311" i="7"/>
  <c r="B287" i="7"/>
  <c r="F289" i="7"/>
  <c r="B225" i="7"/>
  <c r="E309" i="7"/>
  <c r="H202" i="7"/>
  <c r="B347" i="7"/>
  <c r="D268" i="7"/>
  <c r="H317" i="7"/>
  <c r="E367" i="7"/>
  <c r="F294" i="7"/>
  <c r="B296" i="7"/>
  <c r="D304" i="7"/>
  <c r="G370" i="7"/>
  <c r="B248" i="7"/>
  <c r="E276" i="7"/>
  <c r="H210" i="7"/>
  <c r="F287" i="7"/>
  <c r="G355" i="7"/>
  <c r="D331" i="7"/>
  <c r="E350" i="7"/>
  <c r="C358" i="7"/>
  <c r="H300" i="7"/>
  <c r="E298" i="7"/>
  <c r="B370" i="7"/>
  <c r="F359" i="7"/>
  <c r="D359" i="7"/>
  <c r="F362" i="7"/>
  <c r="E363" i="7"/>
  <c r="C306" i="7"/>
  <c r="E354" i="7"/>
  <c r="E291" i="7"/>
  <c r="H367" i="7"/>
  <c r="B272" i="7"/>
  <c r="C333" i="7"/>
  <c r="E337" i="7"/>
  <c r="G330" i="7"/>
  <c r="G364" i="7"/>
  <c r="D324" i="7"/>
  <c r="D362" i="7"/>
  <c r="D322" i="7"/>
  <c r="C228" i="7"/>
  <c r="H240" i="7"/>
  <c r="H339" i="7"/>
  <c r="E328" i="7"/>
  <c r="F281" i="7"/>
  <c r="B217" i="7"/>
  <c r="H328" i="7"/>
  <c r="D330" i="7"/>
  <c r="B339" i="7"/>
  <c r="H306" i="7"/>
  <c r="G213" i="7"/>
  <c r="E209" i="7"/>
  <c r="H326" i="7"/>
  <c r="H330" i="7"/>
  <c r="B308" i="7"/>
  <c r="E356" i="7"/>
  <c r="B359" i="7"/>
  <c r="C334" i="7"/>
  <c r="F269" i="7"/>
  <c r="C239" i="7"/>
  <c r="D271" i="7"/>
  <c r="C244" i="7"/>
  <c r="E299" i="7"/>
  <c r="G321" i="7"/>
  <c r="H282" i="7"/>
  <c r="D347" i="7"/>
  <c r="H349" i="7"/>
  <c r="B325" i="7"/>
  <c r="E260" i="7"/>
  <c r="E266" i="7"/>
  <c r="C247" i="7"/>
  <c r="E255" i="7"/>
  <c r="B328" i="7"/>
  <c r="C289" i="7"/>
  <c r="C297" i="7"/>
  <c r="D369" i="7"/>
  <c r="D310" i="7"/>
  <c r="C249" i="7"/>
  <c r="G326" i="7"/>
  <c r="D299" i="7"/>
  <c r="H290" i="7"/>
  <c r="C362" i="7"/>
  <c r="F290" i="7"/>
  <c r="C17" i="7"/>
  <c r="G303" i="7"/>
  <c r="C305" i="7"/>
  <c r="E313" i="7"/>
  <c r="D318" i="7"/>
  <c r="C257" i="7"/>
  <c r="H298" i="7"/>
  <c r="B220" i="7"/>
  <c r="G320" i="7"/>
  <c r="D323" i="7"/>
  <c r="H355" i="7"/>
  <c r="E251" i="7"/>
  <c r="H319" i="7"/>
  <c r="E322" i="7"/>
  <c r="F297" i="7"/>
  <c r="B233" i="7"/>
  <c r="F202" i="7"/>
  <c r="G344" i="7"/>
  <c r="F207" i="7"/>
  <c r="E307" i="7"/>
  <c r="G287" i="7"/>
  <c r="G369" i="7"/>
  <c r="B277" i="7"/>
  <c r="D280" i="7"/>
  <c r="C281" i="7"/>
  <c r="H288" i="7"/>
  <c r="H370" i="7"/>
  <c r="G338" i="7"/>
  <c r="D345" i="7"/>
  <c r="D282" i="7"/>
  <c r="D336" i="7"/>
  <c r="F364" i="7"/>
  <c r="B344" i="7"/>
  <c r="E361" i="7"/>
  <c r="C346" i="7"/>
  <c r="H171" i="7"/>
  <c r="E262" i="7"/>
  <c r="B336" i="7"/>
  <c r="D352" i="7"/>
  <c r="E305" i="7"/>
  <c r="G337" i="7"/>
  <c r="H277" i="7"/>
  <c r="C354" i="7"/>
  <c r="B219" i="7"/>
  <c r="F214" i="7"/>
  <c r="B302" i="7"/>
  <c r="B197" i="7"/>
  <c r="C315" i="7"/>
  <c r="D319" i="7"/>
  <c r="B273" i="7"/>
  <c r="D348" i="7"/>
  <c r="H285" i="7"/>
  <c r="B358" i="7"/>
  <c r="F369" i="7"/>
  <c r="C189" i="7"/>
  <c r="D256" i="7"/>
  <c r="F264" i="7"/>
  <c r="F278" i="7"/>
  <c r="C310" i="7"/>
  <c r="H263" i="7"/>
  <c r="C339" i="7"/>
  <c r="B368" i="7"/>
  <c r="H348" i="7"/>
  <c r="E296" i="7"/>
  <c r="E144" i="7"/>
  <c r="C197" i="7"/>
  <c r="B284" i="7"/>
  <c r="F277" i="7"/>
  <c r="H304" i="7"/>
  <c r="B321" i="7"/>
  <c r="C296" i="7"/>
  <c r="G298" i="7"/>
  <c r="C234" i="7"/>
  <c r="F318" i="7"/>
  <c r="B212" i="7"/>
  <c r="G208" i="7"/>
  <c r="C279" i="7"/>
  <c r="G350" i="7"/>
  <c r="B365" i="7"/>
  <c r="F260" i="7"/>
  <c r="B329" i="7"/>
  <c r="F331" i="7"/>
  <c r="G306" i="7"/>
  <c r="C242" i="7"/>
  <c r="G211" i="7"/>
  <c r="H243" i="7"/>
  <c r="G216" i="7"/>
  <c r="H262" i="7"/>
  <c r="G282" i="7"/>
  <c r="E236" i="7"/>
  <c r="G311" i="7"/>
  <c r="F340" i="7"/>
  <c r="E321" i="7"/>
  <c r="F356" i="7"/>
  <c r="C190" i="7"/>
  <c r="G219" i="7"/>
  <c r="B228" i="7"/>
  <c r="D289" i="7"/>
  <c r="H360" i="7"/>
  <c r="E300" i="7"/>
  <c r="C350" i="7"/>
  <c r="B32" i="7"/>
  <c r="C301" i="7"/>
  <c r="D329" i="7"/>
  <c r="G209" i="7"/>
  <c r="E333" i="7"/>
  <c r="F324" i="7"/>
  <c r="F323" i="7"/>
  <c r="C326" i="7"/>
  <c r="F261" i="7"/>
  <c r="B346" i="7"/>
  <c r="E239" i="7"/>
  <c r="C236" i="7"/>
  <c r="E212" i="7"/>
  <c r="H123" i="7"/>
  <c r="H247" i="7"/>
  <c r="C343" i="7"/>
  <c r="C357" i="7"/>
  <c r="H369" i="7"/>
  <c r="B304" i="7"/>
  <c r="H284" i="7"/>
  <c r="H246" i="7"/>
  <c r="F153" i="7"/>
  <c r="D217" i="7"/>
  <c r="D309" i="7"/>
  <c r="D211" i="7"/>
  <c r="B334" i="7"/>
  <c r="B348" i="7"/>
  <c r="H303" i="7"/>
  <c r="H294" i="7"/>
  <c r="B367" i="7"/>
  <c r="C250" i="7"/>
  <c r="C363" i="7"/>
  <c r="F161" i="7"/>
  <c r="D264" i="7"/>
  <c r="AE11" i="7" s="1"/>
  <c r="V11" i="13" s="1"/>
  <c r="G299" i="7"/>
  <c r="C274" i="7"/>
  <c r="H312" i="7"/>
  <c r="D314" i="7"/>
  <c r="F322" i="7"/>
  <c r="E327" i="7"/>
  <c r="D266" i="7"/>
  <c r="H353" i="7"/>
  <c r="C229" i="7"/>
  <c r="D204" i="7"/>
  <c r="Z11" i="7" s="1"/>
  <c r="Q11" i="13" s="1"/>
  <c r="G288" i="7"/>
  <c r="H291" i="7"/>
  <c r="F245" i="7"/>
  <c r="H320" i="7"/>
  <c r="G349" i="7"/>
  <c r="F330" i="7"/>
  <c r="E338" i="7"/>
  <c r="B200" i="7"/>
  <c r="H228" i="7"/>
  <c r="C237" i="7"/>
  <c r="E359" i="7"/>
  <c r="F306" i="7"/>
  <c r="F320" i="7"/>
  <c r="E259" i="7"/>
  <c r="E364" i="7"/>
  <c r="F339" i="7"/>
  <c r="H321" i="7"/>
  <c r="D287" i="7"/>
  <c r="H219" i="7"/>
  <c r="H251" i="7"/>
  <c r="E362" i="7"/>
  <c r="B369" i="7"/>
  <c r="G279" i="7"/>
  <c r="G361" i="7"/>
  <c r="F329" i="7"/>
  <c r="C336" i="7"/>
  <c r="C370" i="7"/>
  <c r="E341" i="7"/>
  <c r="G238" i="7"/>
  <c r="D303" i="7"/>
  <c r="AH11" i="7" s="1"/>
  <c r="Y11" i="13" s="1"/>
  <c r="D337" i="7"/>
  <c r="B324" i="7"/>
  <c r="D328" i="7"/>
  <c r="G307" i="7"/>
  <c r="F308" i="7"/>
  <c r="D316" i="7"/>
  <c r="F341" i="7"/>
  <c r="C273" i="7"/>
  <c r="H363" i="7"/>
  <c r="C303" i="7"/>
  <c r="G223" i="7"/>
  <c r="F335" i="7"/>
  <c r="C266" i="7"/>
  <c r="E348" i="7"/>
  <c r="G341" i="7"/>
  <c r="B350" i="7"/>
  <c r="H354" i="7"/>
  <c r="F351" i="7"/>
  <c r="D263" i="7"/>
  <c r="F256" i="7"/>
  <c r="G231" i="7"/>
  <c r="H344" i="7"/>
  <c r="H347" i="7"/>
  <c r="E370" i="7"/>
  <c r="F345" i="7"/>
  <c r="F288" i="7"/>
  <c r="H327" i="7"/>
  <c r="B303" i="7"/>
  <c r="D252" i="7"/>
  <c r="AD11" i="7" s="1"/>
  <c r="U11" i="13" s="1"/>
  <c r="D274" i="7"/>
  <c r="G170" i="7"/>
  <c r="E273" i="7"/>
  <c r="D311" i="7"/>
  <c r="D361" i="7"/>
  <c r="E336" i="7"/>
  <c r="H271" i="7"/>
  <c r="G318" i="7"/>
  <c r="H293" i="7"/>
  <c r="H273" i="7"/>
  <c r="E269" i="7"/>
  <c r="F186" i="7"/>
  <c r="C240" i="7"/>
  <c r="H359" i="7"/>
  <c r="F312" i="7"/>
  <c r="G269" i="7"/>
  <c r="C338" i="7"/>
  <c r="G340" i="7"/>
  <c r="H315" i="7"/>
  <c r="D251" i="7"/>
  <c r="H220" i="7"/>
  <c r="B253" i="7"/>
  <c r="H225" i="7"/>
  <c r="H22" i="7"/>
  <c r="G315" i="7"/>
  <c r="G329" i="7"/>
  <c r="F268" i="7"/>
  <c r="F276" i="7"/>
  <c r="G348" i="7"/>
  <c r="B201" i="7"/>
  <c r="E360" i="7"/>
  <c r="D257" i="7"/>
  <c r="B261" i="7"/>
  <c r="G274" i="7"/>
  <c r="H333" i="7"/>
  <c r="B309" i="7"/>
  <c r="E244" i="7"/>
  <c r="D356" i="7"/>
  <c r="G357" i="7"/>
  <c r="H224" i="7"/>
  <c r="G246" i="7"/>
  <c r="C134" i="7"/>
  <c r="H236" i="7"/>
  <c r="D344" i="7"/>
  <c r="C345" i="7"/>
  <c r="H352" i="7"/>
  <c r="F285" i="7"/>
  <c r="C341" i="7"/>
  <c r="B318" i="7"/>
  <c r="D346" i="7"/>
  <c r="E325" i="7"/>
  <c r="E282" i="7"/>
  <c r="E332" i="7"/>
  <c r="E346" i="7"/>
  <c r="E355" i="7"/>
  <c r="D350" i="7"/>
  <c r="D367" i="7"/>
  <c r="C337" i="7"/>
  <c r="F263" i="7"/>
  <c r="F353" i="7"/>
  <c r="H351" i="7"/>
  <c r="G293" i="7"/>
  <c r="C361" i="7"/>
  <c r="C25" i="7"/>
  <c r="F279" i="7"/>
  <c r="C342" i="7"/>
  <c r="H335" i="7"/>
  <c r="D306" i="7"/>
  <c r="E205" i="7"/>
  <c r="F328" i="7"/>
  <c r="H309" i="7"/>
  <c r="F205" i="7"/>
  <c r="D291" i="7"/>
  <c r="D363" i="7"/>
  <c r="B357" i="7"/>
  <c r="H254" i="7"/>
  <c r="G230" i="7"/>
  <c r="G325" i="7"/>
  <c r="D354" i="7"/>
  <c r="H308" i="7"/>
  <c r="H266" i="7"/>
  <c r="B351" i="7"/>
  <c r="D168" i="7"/>
  <c r="W11" i="7" s="1"/>
  <c r="N11" i="13" s="1"/>
  <c r="D292" i="7"/>
  <c r="B335" i="7"/>
  <c r="C218" i="7"/>
  <c r="H338" i="7"/>
  <c r="E303" i="7"/>
  <c r="D258" i="7"/>
  <c r="D298" i="7"/>
  <c r="H209" i="7"/>
  <c r="D296" i="7"/>
  <c r="G273" i="7"/>
  <c r="C367" i="7"/>
  <c r="C353" i="7"/>
  <c r="E293" i="7"/>
  <c r="E246" i="7"/>
  <c r="H332" i="7"/>
  <c r="D143" i="7"/>
  <c r="E365" i="7"/>
  <c r="B293" i="7"/>
  <c r="D320" i="7"/>
  <c r="G254" i="7"/>
  <c r="D338" i="7"/>
  <c r="F310" i="7"/>
  <c r="D353" i="7"/>
  <c r="F293" i="7"/>
  <c r="E369" i="7"/>
  <c r="D253" i="7"/>
  <c r="D343" i="7"/>
  <c r="H316" i="7"/>
  <c r="F314" i="7"/>
  <c r="B315" i="7"/>
  <c r="F229" i="7"/>
  <c r="B332" i="7"/>
  <c r="D151" i="7"/>
  <c r="E308" i="7"/>
  <c r="H278" i="7"/>
  <c r="C251" i="7"/>
  <c r="D42" i="7"/>
  <c r="H331" i="7"/>
  <c r="H357" i="7"/>
  <c r="H324" i="7"/>
  <c r="H217" i="7"/>
  <c r="E319" i="7"/>
  <c r="G300" i="7"/>
  <c r="B345" i="7"/>
  <c r="E315" i="7"/>
  <c r="E265" i="7"/>
  <c r="B295" i="7"/>
  <c r="C217" i="7"/>
  <c r="G275" i="7"/>
  <c r="G333" i="7"/>
  <c r="D288" i="7"/>
  <c r="AG11" i="7" s="1"/>
  <c r="X11" i="13" s="1"/>
  <c r="G313" i="7"/>
  <c r="H368" i="7"/>
  <c r="F334" i="7"/>
  <c r="D293" i="7"/>
  <c r="H274" i="7"/>
  <c r="F220" i="7"/>
  <c r="G214" i="7"/>
  <c r="D279" i="7"/>
  <c r="C304" i="7"/>
  <c r="F366" i="7"/>
  <c r="C332" i="7"/>
  <c r="F337" i="7"/>
  <c r="F342" i="7"/>
  <c r="E318" i="7"/>
  <c r="E257" i="7"/>
  <c r="B307" i="7"/>
  <c r="E352" i="7"/>
  <c r="B286" i="7"/>
  <c r="G277" i="7"/>
  <c r="D276" i="7"/>
  <c r="AF11" i="7" s="1"/>
  <c r="W11" i="13" s="1"/>
  <c r="C349" i="7"/>
  <c r="D281" i="7"/>
  <c r="G265" i="7"/>
  <c r="E272" i="7"/>
  <c r="B282" i="7"/>
  <c r="B364" i="7"/>
  <c r="C359" i="7"/>
  <c r="H350" i="7"/>
  <c r="E349" i="7"/>
  <c r="F252" i="7"/>
  <c r="B349" i="7"/>
  <c r="E306" i="7"/>
  <c r="C366" i="7"/>
  <c r="B133" i="7"/>
  <c r="B241" i="7"/>
  <c r="D245" i="7"/>
  <c r="F248" i="7"/>
  <c r="C355" i="7"/>
  <c r="G270" i="7"/>
  <c r="D335" i="7"/>
  <c r="G332" i="7"/>
  <c r="F357" i="7"/>
  <c r="B313" i="7"/>
  <c r="C280" i="7"/>
  <c r="H342" i="7"/>
  <c r="G323" i="7"/>
  <c r="B356" i="7"/>
  <c r="G360" i="7"/>
  <c r="E275" i="7"/>
  <c r="D237" i="7"/>
  <c r="H232" i="7"/>
  <c r="D351" i="7"/>
  <c r="G242" i="7"/>
  <c r="H187" i="7"/>
  <c r="E342" i="7"/>
  <c r="H248" i="7"/>
  <c r="E270" i="7"/>
  <c r="G328" i="7"/>
  <c r="G217" i="7"/>
  <c r="F241" i="7"/>
  <c r="F226" i="7"/>
  <c r="B239" i="7"/>
  <c r="B141" i="7"/>
  <c r="H356" i="7"/>
  <c r="H231" i="7"/>
  <c r="F238" i="7"/>
  <c r="C260" i="7"/>
  <c r="E287" i="7"/>
  <c r="E207" i="7"/>
  <c r="D317" i="7"/>
  <c r="D216" i="7"/>
  <c r="AA11" i="7" s="1"/>
  <c r="R11" i="13" s="1"/>
  <c r="E235" i="7"/>
  <c r="H139" i="7"/>
  <c r="H164" i="7"/>
  <c r="G334" i="7"/>
  <c r="B274" i="7"/>
  <c r="E366" i="7"/>
  <c r="E222" i="7"/>
  <c r="H242" i="7"/>
  <c r="G266" i="7"/>
  <c r="G251" i="7"/>
  <c r="B205" i="7"/>
  <c r="C166" i="7"/>
  <c r="C191" i="7"/>
  <c r="D308" i="7"/>
  <c r="E231" i="7"/>
  <c r="G154" i="7"/>
  <c r="C292" i="7"/>
  <c r="E146" i="7"/>
  <c r="D209" i="7"/>
  <c r="C130" i="7"/>
  <c r="B154" i="7"/>
  <c r="G152" i="7"/>
  <c r="H121" i="7"/>
  <c r="E179" i="7"/>
  <c r="F239" i="7"/>
  <c r="B278" i="7"/>
  <c r="H156" i="7"/>
  <c r="G172" i="7"/>
  <c r="B192" i="7"/>
  <c r="E156" i="7"/>
  <c r="D180" i="7"/>
  <c r="X11" i="7" s="1"/>
  <c r="O11" i="13" s="1"/>
  <c r="C153" i="7"/>
  <c r="E190" i="7"/>
  <c r="B75" i="7"/>
  <c r="B256" i="7"/>
  <c r="D222" i="7"/>
  <c r="F145" i="7"/>
  <c r="C264" i="7"/>
  <c r="C144" i="7"/>
  <c r="E203" i="7"/>
  <c r="H127" i="7"/>
  <c r="G151" i="7"/>
  <c r="H146" i="7"/>
  <c r="F119" i="7"/>
  <c r="E245" i="7"/>
  <c r="C238" i="7"/>
  <c r="H196" i="7"/>
  <c r="B198" i="7"/>
  <c r="B263" i="7"/>
  <c r="F181" i="7"/>
  <c r="B215" i="7"/>
  <c r="D132" i="7"/>
  <c r="T11" i="7" s="1"/>
  <c r="K11" i="13" s="1"/>
  <c r="B114" i="7"/>
  <c r="C100" i="7"/>
  <c r="H287" i="7"/>
  <c r="F273" i="7"/>
  <c r="G342" i="7"/>
  <c r="C322" i="7"/>
  <c r="G366" i="7"/>
  <c r="H341" i="7"/>
  <c r="E344" i="7"/>
  <c r="D285" i="7"/>
  <c r="D364" i="7"/>
  <c r="G257" i="7"/>
  <c r="E254" i="7"/>
  <c r="F303" i="7"/>
  <c r="C255" i="7"/>
  <c r="F169" i="7"/>
  <c r="F237" i="7"/>
  <c r="G239" i="7"/>
  <c r="D261" i="7"/>
  <c r="C290" i="7"/>
  <c r="F208" i="7"/>
  <c r="E326" i="7"/>
  <c r="E217" i="7"/>
  <c r="H213" i="7"/>
  <c r="H131" i="7"/>
  <c r="G283" i="7"/>
  <c r="B209" i="7"/>
  <c r="E229" i="7"/>
  <c r="B251" i="7"/>
  <c r="E271" i="7"/>
  <c r="C364" i="7"/>
  <c r="E286" i="7"/>
  <c r="G210" i="7"/>
  <c r="G130" i="7"/>
  <c r="G155" i="7"/>
  <c r="F326" i="7"/>
  <c r="H264" i="7"/>
  <c r="G302" i="7"/>
  <c r="D213" i="7"/>
  <c r="G233" i="7"/>
  <c r="F257" i="7"/>
  <c r="F242" i="7"/>
  <c r="F192" i="7"/>
  <c r="B157" i="7"/>
  <c r="B182" i="7"/>
  <c r="D203" i="7"/>
  <c r="G336" i="7"/>
  <c r="C126" i="7"/>
  <c r="F228" i="7"/>
  <c r="D137" i="7"/>
  <c r="C194" i="7"/>
  <c r="H269" i="7"/>
  <c r="H144" i="7"/>
  <c r="F128" i="7"/>
  <c r="G112" i="7"/>
  <c r="D326" i="7"/>
  <c r="B203" i="7"/>
  <c r="C298" i="7"/>
  <c r="D144" i="7"/>
  <c r="F163" i="7"/>
  <c r="C316" i="7"/>
  <c r="D147" i="7"/>
  <c r="C171" i="7"/>
  <c r="G128" i="7"/>
  <c r="G161" i="7"/>
  <c r="H65" i="7"/>
  <c r="B331" i="7"/>
  <c r="C293" i="7"/>
  <c r="C256" i="7"/>
  <c r="C222" i="7"/>
  <c r="B135" i="7"/>
  <c r="H191" i="7"/>
  <c r="F251" i="7"/>
  <c r="F142" i="7"/>
  <c r="G124" i="7"/>
  <c r="E110" i="7"/>
  <c r="H208" i="7"/>
  <c r="G259" i="7"/>
  <c r="G179" i="7"/>
  <c r="G188" i="7"/>
  <c r="H221" i="7"/>
  <c r="E172" i="7"/>
  <c r="D196" i="7"/>
  <c r="F304" i="7"/>
  <c r="H104" i="7"/>
  <c r="E351" i="7"/>
  <c r="G261" i="7"/>
  <c r="F358" i="7"/>
  <c r="B360" i="7"/>
  <c r="D368" i="7"/>
  <c r="D18" i="7"/>
  <c r="C291" i="7"/>
  <c r="H289" i="7"/>
  <c r="C275" i="7"/>
  <c r="B250" i="7"/>
  <c r="B246" i="7"/>
  <c r="E160" i="7"/>
  <c r="C210" i="7"/>
  <c r="F230" i="7"/>
  <c r="C252" i="7"/>
  <c r="F272" i="7"/>
  <c r="E199" i="7"/>
  <c r="G289" i="7"/>
  <c r="J305" i="7" s="1"/>
  <c r="D208" i="7"/>
  <c r="H195" i="7"/>
  <c r="F343" i="7"/>
  <c r="H301" i="7"/>
  <c r="E358" i="7"/>
  <c r="D220" i="7"/>
  <c r="H241" i="7"/>
  <c r="D262" i="7"/>
  <c r="D302" i="7"/>
  <c r="C271" i="7"/>
  <c r="C207" i="7"/>
  <c r="G194" i="7"/>
  <c r="E295" i="7"/>
  <c r="E335" i="7"/>
  <c r="E274" i="7"/>
  <c r="G255" i="7"/>
  <c r="B279" i="7"/>
  <c r="C204" i="7"/>
  <c r="F224" i="7"/>
  <c r="E248" i="7"/>
  <c r="E233" i="7"/>
  <c r="G352" i="7"/>
  <c r="H147" i="7"/>
  <c r="H172" i="7"/>
  <c r="F262" i="7"/>
  <c r="D255" i="7"/>
  <c r="E210" i="7"/>
  <c r="H203" i="7"/>
  <c r="D325" i="7"/>
  <c r="B185" i="7"/>
  <c r="C224" i="7"/>
  <c r="G135" i="7"/>
  <c r="E117" i="7"/>
  <c r="F103" i="7"/>
  <c r="F283" i="7"/>
  <c r="B260" i="7"/>
  <c r="D183" i="7"/>
  <c r="B134" i="7"/>
  <c r="E154" i="7"/>
  <c r="H230" i="7"/>
  <c r="C138" i="7"/>
  <c r="B162" i="7"/>
  <c r="D174" i="7"/>
  <c r="C137" i="7"/>
  <c r="G56" i="7"/>
  <c r="E253" i="7"/>
  <c r="C246" i="7"/>
  <c r="C198" i="7"/>
  <c r="F199" i="7"/>
  <c r="C272" i="7"/>
  <c r="G182" i="7"/>
  <c r="D218" i="7"/>
  <c r="E133" i="7"/>
  <c r="C115" i="7"/>
  <c r="D101" i="7"/>
  <c r="B267" i="7"/>
  <c r="C223" i="7"/>
  <c r="B166" i="7"/>
  <c r="F179" i="7"/>
  <c r="D199" i="7"/>
  <c r="D163" i="7"/>
  <c r="C187" i="7"/>
  <c r="E171" i="7"/>
  <c r="G95" i="7"/>
  <c r="H81" i="7"/>
  <c r="G207" i="7"/>
  <c r="G308" i="7"/>
  <c r="D358" i="7"/>
  <c r="E285" i="7"/>
  <c r="H286" i="7"/>
  <c r="C295" i="7"/>
  <c r="F361" i="7"/>
  <c r="H238" i="7"/>
  <c r="F266" i="7"/>
  <c r="G201" i="7"/>
  <c r="F271" i="7"/>
  <c r="G227" i="7"/>
  <c r="C142" i="7"/>
  <c r="F367" i="7"/>
  <c r="E221" i="7"/>
  <c r="B243" i="7"/>
  <c r="E263" i="7"/>
  <c r="B305" i="7"/>
  <c r="D272" i="7"/>
  <c r="C199" i="7"/>
  <c r="G186" i="7"/>
  <c r="B232" i="7"/>
  <c r="B320" i="7"/>
  <c r="B297" i="7"/>
  <c r="C211" i="7"/>
  <c r="G232" i="7"/>
  <c r="C253" i="7"/>
  <c r="E278" i="7"/>
  <c r="B262" i="7"/>
  <c r="H361" i="7"/>
  <c r="F185" i="7"/>
  <c r="G228" i="7"/>
  <c r="H323" i="7"/>
  <c r="B265" i="7"/>
  <c r="F246" i="7"/>
  <c r="C268" i="7"/>
  <c r="E310" i="7"/>
  <c r="E215" i="7"/>
  <c r="D239" i="7"/>
  <c r="D224" i="7"/>
  <c r="C232" i="7"/>
  <c r="G138" i="7"/>
  <c r="G163" i="7"/>
  <c r="B226" i="7"/>
  <c r="D278" i="7"/>
  <c r="E185" i="7"/>
  <c r="C192" i="7"/>
  <c r="B231" i="7"/>
  <c r="H175" i="7"/>
  <c r="G200" i="7"/>
  <c r="F126" i="7"/>
  <c r="D108" i="7"/>
  <c r="R11" i="7" s="1"/>
  <c r="I11" i="13" s="1"/>
  <c r="E94" i="7"/>
  <c r="C265" i="7"/>
  <c r="E223" i="7"/>
  <c r="G146" i="7"/>
  <c r="D273" i="7"/>
  <c r="D145" i="7"/>
  <c r="C206" i="7"/>
  <c r="B129" i="7"/>
  <c r="H152" i="7"/>
  <c r="G149" i="7"/>
  <c r="G120" i="7"/>
  <c r="F176" i="7"/>
  <c r="H216" i="7"/>
  <c r="G267" i="7"/>
  <c r="H180" i="7"/>
  <c r="H189" i="7"/>
  <c r="C225" i="7"/>
  <c r="F173" i="7"/>
  <c r="E197" i="7"/>
  <c r="D124" i="7"/>
  <c r="B106" i="7"/>
  <c r="C92" i="7"/>
  <c r="E230" i="7"/>
  <c r="E226" i="7"/>
  <c r="D152" i="7"/>
  <c r="E170" i="7"/>
  <c r="G189" i="7"/>
  <c r="C154" i="7"/>
  <c r="B178" i="7"/>
  <c r="B147" i="7"/>
  <c r="B180" i="7"/>
  <c r="G72" i="7"/>
  <c r="H265" i="7"/>
  <c r="G351" i="7"/>
  <c r="G346" i="7"/>
  <c r="D242" i="7"/>
  <c r="G310" i="7"/>
  <c r="D313" i="7"/>
  <c r="E288" i="7"/>
  <c r="H223" i="7"/>
  <c r="E258" i="7"/>
  <c r="F295" i="7"/>
  <c r="H337" i="7"/>
  <c r="D200" i="7"/>
  <c r="G353" i="7"/>
  <c r="C300" i="7"/>
  <c r="D212" i="7"/>
  <c r="H233" i="7"/>
  <c r="D254" i="7"/>
  <c r="G280" i="7"/>
  <c r="C263" i="7"/>
  <c r="F235" i="7"/>
  <c r="F177" i="7"/>
  <c r="D207" i="7"/>
  <c r="H343" i="7"/>
  <c r="F275" i="7"/>
  <c r="B202" i="7"/>
  <c r="F223" i="7"/>
  <c r="B244" i="7"/>
  <c r="H267" i="7"/>
  <c r="H252" i="7"/>
  <c r="E232" i="7"/>
  <c r="E176" i="7"/>
  <c r="F204" i="7"/>
  <c r="G347" i="7"/>
  <c r="E228" i="7"/>
  <c r="E237" i="7"/>
  <c r="B259" i="7"/>
  <c r="C284" i="7"/>
  <c r="D206" i="7"/>
  <c r="C309" i="7"/>
  <c r="C215" i="7"/>
  <c r="B208" i="7"/>
  <c r="F129" i="7"/>
  <c r="F154" i="7"/>
  <c r="G296" i="7"/>
  <c r="D240" i="7"/>
  <c r="AC11" i="7" s="1"/>
  <c r="T11" i="13" s="1"/>
  <c r="F170" i="7"/>
  <c r="B183" i="7"/>
  <c r="H206" i="7"/>
  <c r="G166" i="7"/>
  <c r="F190" i="7"/>
  <c r="F180" i="7"/>
  <c r="C99" i="7"/>
  <c r="D85" i="7"/>
  <c r="C340" i="7"/>
  <c r="H295" i="7"/>
  <c r="D265" i="7"/>
  <c r="D225" i="7"/>
  <c r="C136" i="7"/>
  <c r="B193" i="7"/>
  <c r="G260" i="7"/>
  <c r="G143" i="7"/>
  <c r="E126" i="7"/>
  <c r="F111" i="7"/>
  <c r="B152" i="7"/>
  <c r="D275" i="7"/>
  <c r="C231" i="7"/>
  <c r="C167" i="7"/>
  <c r="G180" i="7"/>
  <c r="C201" i="7"/>
  <c r="E164" i="7"/>
  <c r="D188" i="7"/>
  <c r="E174" i="7"/>
  <c r="H96" i="7"/>
  <c r="G314" i="7"/>
  <c r="G305" i="7"/>
  <c r="B229" i="7"/>
  <c r="B142" i="7"/>
  <c r="D161" i="7"/>
  <c r="B271" i="7"/>
  <c r="B145" i="7"/>
  <c r="H322" i="7"/>
  <c r="E297" i="7"/>
  <c r="E311" i="7"/>
  <c r="D250" i="7"/>
  <c r="D355" i="7"/>
  <c r="E330" i="7"/>
  <c r="C285" i="7"/>
  <c r="C311" i="7"/>
  <c r="D198" i="7"/>
  <c r="H218" i="7"/>
  <c r="B196" i="7"/>
  <c r="H292" i="7"/>
  <c r="C267" i="7"/>
  <c r="F311" i="7"/>
  <c r="F215" i="7"/>
  <c r="B236" i="7"/>
  <c r="H259" i="7"/>
  <c r="H244" i="7"/>
  <c r="H194" i="7"/>
  <c r="D159" i="7"/>
  <c r="F344" i="7"/>
  <c r="G294" i="7"/>
  <c r="H256" i="7"/>
  <c r="G281" i="7"/>
  <c r="D205" i="7"/>
  <c r="G225" i="7"/>
  <c r="F249" i="7"/>
  <c r="F234" i="7"/>
  <c r="G193" i="7"/>
  <c r="C158" i="7"/>
  <c r="C183" i="7"/>
  <c r="G292" i="7"/>
  <c r="D349" i="7"/>
  <c r="C219" i="7"/>
  <c r="G240" i="7"/>
  <c r="C261" i="7"/>
  <c r="B299" i="7"/>
  <c r="B270" i="7"/>
  <c r="D301" i="7"/>
  <c r="E184" i="7"/>
  <c r="F225" i="7"/>
  <c r="D136" i="7"/>
  <c r="B211" i="7"/>
  <c r="D190" i="7"/>
  <c r="F146" i="7"/>
  <c r="G164" i="7"/>
  <c r="B184" i="7"/>
  <c r="E148" i="7"/>
  <c r="D172" i="7"/>
  <c r="B132" i="7"/>
  <c r="F164" i="7"/>
  <c r="B67" i="7"/>
  <c r="B218" i="7"/>
  <c r="H268" i="7"/>
  <c r="D184" i="7"/>
  <c r="B191" i="7"/>
  <c r="H227" i="7"/>
  <c r="G174" i="7"/>
  <c r="H198" i="7"/>
  <c r="E125" i="7"/>
  <c r="C107" i="7"/>
  <c r="D93" i="7"/>
  <c r="C317" i="7"/>
  <c r="D365" i="7"/>
  <c r="C276" i="7"/>
  <c r="C143" i="7"/>
  <c r="E162" i="7"/>
  <c r="D286" i="7"/>
  <c r="C146" i="7"/>
  <c r="B170" i="7"/>
  <c r="H279" i="7"/>
  <c r="E158" i="7"/>
  <c r="D259" i="7"/>
  <c r="D214" i="7"/>
  <c r="F137" i="7"/>
  <c r="B255" i="7"/>
  <c r="B143" i="7"/>
  <c r="H200" i="7"/>
  <c r="G126" i="7"/>
  <c r="F150" i="7"/>
  <c r="F143" i="7"/>
  <c r="E118" i="7"/>
  <c r="F292" i="7"/>
  <c r="G249" i="7"/>
  <c r="C335" i="7"/>
  <c r="G324" i="7"/>
  <c r="H299" i="7"/>
  <c r="D235" i="7"/>
  <c r="C347" i="7"/>
  <c r="F348" i="7"/>
  <c r="G215" i="7"/>
  <c r="F213" i="7"/>
  <c r="B125" i="7"/>
  <c r="C270" i="7"/>
  <c r="C248" i="7"/>
  <c r="C329" i="7"/>
  <c r="B258" i="7"/>
  <c r="E284" i="7"/>
  <c r="E206" i="7"/>
  <c r="H226" i="7"/>
  <c r="G250" i="7"/>
  <c r="G235" i="7"/>
  <c r="G185" i="7"/>
  <c r="C150" i="7"/>
  <c r="B333" i="7"/>
  <c r="E268" i="7"/>
  <c r="G247" i="7"/>
  <c r="D269" i="7"/>
  <c r="F319" i="7"/>
  <c r="F216" i="7"/>
  <c r="E240" i="7"/>
  <c r="E225" i="7"/>
  <c r="F184" i="7"/>
  <c r="B149" i="7"/>
  <c r="B174" i="7"/>
  <c r="H310" i="7"/>
  <c r="D294" i="7"/>
  <c r="B210" i="7"/>
  <c r="F231" i="7"/>
  <c r="B252" i="7"/>
  <c r="G276" i="7"/>
  <c r="H260" i="7"/>
  <c r="G229" i="7"/>
  <c r="J245" i="7" s="1"/>
  <c r="D175" i="7"/>
  <c r="F201" i="7"/>
  <c r="F347" i="7"/>
  <c r="B268" i="7"/>
  <c r="D191" i="7"/>
  <c r="C135" i="7"/>
  <c r="F155" i="7"/>
  <c r="F233" i="7"/>
  <c r="D139" i="7"/>
  <c r="C163" i="7"/>
  <c r="C177" i="7"/>
  <c r="C140" i="7"/>
  <c r="H57" i="7"/>
  <c r="C277" i="7"/>
  <c r="D232" i="7"/>
  <c r="E169" i="7"/>
  <c r="H181" i="7"/>
  <c r="F203" i="7"/>
  <c r="F165" i="7"/>
  <c r="E189" i="7"/>
  <c r="G177" i="7"/>
  <c r="B98" i="7"/>
  <c r="C84" i="7"/>
  <c r="G365" i="7"/>
  <c r="H258" i="7"/>
  <c r="C182" i="7"/>
  <c r="H132" i="7"/>
  <c r="D153" i="7"/>
  <c r="F227" i="7"/>
  <c r="B137" i="7"/>
  <c r="H160" i="7"/>
  <c r="B171" i="7"/>
  <c r="D134" i="7"/>
  <c r="B291" i="7"/>
  <c r="B275" i="7"/>
  <c r="B247" i="7"/>
  <c r="E219" i="7"/>
  <c r="H133" i="7"/>
  <c r="G190" i="7"/>
  <c r="E242" i="7"/>
  <c r="E141" i="7"/>
  <c r="C123" i="7"/>
  <c r="D109" i="7"/>
  <c r="H255" i="7"/>
  <c r="D227" i="7"/>
  <c r="C214" i="7"/>
  <c r="E211" i="7"/>
  <c r="G258" i="7"/>
  <c r="H249" i="7"/>
  <c r="F247" i="7"/>
  <c r="E200" i="7"/>
  <c r="B221" i="7"/>
  <c r="F171" i="7"/>
  <c r="C174" i="7"/>
  <c r="B168" i="7"/>
  <c r="E302" i="7"/>
  <c r="E136" i="7"/>
  <c r="H245" i="7"/>
  <c r="H141" i="7"/>
  <c r="B199" i="7"/>
  <c r="F125" i="7"/>
  <c r="E149" i="7"/>
  <c r="F140" i="7"/>
  <c r="D117" i="7"/>
  <c r="E167" i="7"/>
  <c r="D221" i="7"/>
  <c r="D202" i="7"/>
  <c r="B150" i="7"/>
  <c r="C168" i="7"/>
  <c r="E187" i="7"/>
  <c r="H151" i="7"/>
  <c r="G175" i="7"/>
  <c r="C141" i="7"/>
  <c r="G173" i="7"/>
  <c r="E70" i="7"/>
  <c r="E316" i="7"/>
  <c r="F240" i="7"/>
  <c r="H163" i="7"/>
  <c r="D128" i="7"/>
  <c r="G148" i="7"/>
  <c r="D215" i="7"/>
  <c r="E132" i="7"/>
  <c r="D156" i="7"/>
  <c r="V11" i="7" s="1"/>
  <c r="M11" i="13" s="1"/>
  <c r="H158" i="7"/>
  <c r="F124" i="7"/>
  <c r="D189" i="7"/>
  <c r="E173" i="7"/>
  <c r="G97" i="7"/>
  <c r="H178" i="7"/>
  <c r="B148" i="7"/>
  <c r="G60" i="7"/>
  <c r="G30" i="7"/>
  <c r="G39" i="7"/>
  <c r="H72" i="7"/>
  <c r="E99" i="7"/>
  <c r="D75" i="7"/>
  <c r="G356" i="7"/>
  <c r="C180" i="7"/>
  <c r="E87" i="7"/>
  <c r="E151" i="7"/>
  <c r="F123" i="7"/>
  <c r="C233" i="7"/>
  <c r="E208" i="7"/>
  <c r="D20" i="7"/>
  <c r="D131" i="7"/>
  <c r="F104" i="7"/>
  <c r="F127" i="7"/>
  <c r="D166" i="7"/>
  <c r="F67" i="7"/>
  <c r="F37" i="7"/>
  <c r="D127" i="7"/>
  <c r="G64" i="7"/>
  <c r="H66" i="7"/>
  <c r="F114" i="7"/>
  <c r="B103" i="7"/>
  <c r="D84" i="7"/>
  <c r="P11" i="7" s="1"/>
  <c r="G11" i="13" s="1"/>
  <c r="H83" i="7"/>
  <c r="E73" i="7"/>
  <c r="F302" i="7"/>
  <c r="B366" i="7"/>
  <c r="E168" i="7"/>
  <c r="G243" i="7"/>
  <c r="D270" i="7"/>
  <c r="G203" i="7"/>
  <c r="C76" i="7"/>
  <c r="F134" i="7"/>
  <c r="H190" i="7"/>
  <c r="G131" i="7"/>
  <c r="E155" i="7"/>
  <c r="C213" i="7"/>
  <c r="G234" i="7"/>
  <c r="C216" i="7"/>
  <c r="G132" i="7"/>
  <c r="F189" i="7"/>
  <c r="F236" i="7"/>
  <c r="D140" i="7"/>
  <c r="B122" i="7"/>
  <c r="C108" i="7"/>
  <c r="F338" i="7"/>
  <c r="B281" i="7"/>
  <c r="G204" i="7"/>
  <c r="G139" i="7"/>
  <c r="B159" i="7"/>
  <c r="G252" i="7"/>
  <c r="G142" i="7"/>
  <c r="F166" i="7"/>
  <c r="F191" i="7"/>
  <c r="D149" i="7"/>
  <c r="D61" i="7"/>
  <c r="D219" i="7"/>
  <c r="B204" i="7"/>
  <c r="E128" i="7"/>
  <c r="E234" i="7"/>
  <c r="F139" i="7"/>
  <c r="E196" i="7"/>
  <c r="C308" i="7"/>
  <c r="C147" i="7"/>
  <c r="E134" i="7"/>
  <c r="B115" i="7"/>
  <c r="C161" i="7"/>
  <c r="H134" i="7"/>
  <c r="F88" i="7"/>
  <c r="D154" i="7"/>
  <c r="D125" i="7"/>
  <c r="F51" i="7"/>
  <c r="F21" i="7"/>
  <c r="F30" i="7"/>
  <c r="C58" i="7"/>
  <c r="F81" i="7"/>
  <c r="E120" i="7"/>
  <c r="C269" i="7"/>
  <c r="E143" i="7"/>
  <c r="D78" i="7"/>
  <c r="E127" i="7"/>
  <c r="E114" i="7"/>
  <c r="G109" i="7"/>
  <c r="F109" i="7"/>
  <c r="H17" i="7"/>
  <c r="C155" i="7"/>
  <c r="E95" i="7"/>
  <c r="F172" i="7"/>
  <c r="G141" i="7"/>
  <c r="E58" i="7"/>
  <c r="E28" i="7"/>
  <c r="D231" i="7"/>
  <c r="B155" i="7"/>
  <c r="G57" i="7"/>
  <c r="E105" i="7"/>
  <c r="H93" i="7"/>
  <c r="F69" i="7"/>
  <c r="E69" i="7"/>
  <c r="H124" i="7"/>
  <c r="B38" i="7"/>
  <c r="E31" i="7"/>
  <c r="B207" i="7"/>
  <c r="C149" i="7"/>
  <c r="E250" i="7"/>
  <c r="D104" i="7"/>
  <c r="G92" i="7"/>
  <c r="E331" i="7"/>
  <c r="D277" i="7"/>
  <c r="E193" i="7"/>
  <c r="C208" i="7"/>
  <c r="B355" i="7"/>
  <c r="B158" i="7"/>
  <c r="F254" i="7"/>
  <c r="D116" i="7"/>
  <c r="D155" i="7"/>
  <c r="C152" i="7"/>
  <c r="B131" i="7"/>
  <c r="B363" i="7"/>
  <c r="F194" i="7"/>
  <c r="G196" i="7"/>
  <c r="H253" i="7"/>
  <c r="E180" i="7"/>
  <c r="H211" i="7"/>
  <c r="C131" i="7"/>
  <c r="H112" i="7"/>
  <c r="B99" i="7"/>
  <c r="F325" i="7"/>
  <c r="G241" i="7"/>
  <c r="B165" i="7"/>
  <c r="E129" i="7"/>
  <c r="H149" i="7"/>
  <c r="E218" i="7"/>
  <c r="F133" i="7"/>
  <c r="E157" i="7"/>
  <c r="H161" i="7"/>
  <c r="D126" i="7"/>
  <c r="F198" i="7"/>
  <c r="G271" i="7"/>
  <c r="E264" i="7"/>
  <c r="F219" i="7"/>
  <c r="D210" i="7"/>
  <c r="E130" i="7"/>
  <c r="D187" i="7"/>
  <c r="C230" i="7"/>
  <c r="B138" i="7"/>
  <c r="G119" i="7"/>
  <c r="H105" i="7"/>
  <c r="C212" i="7"/>
  <c r="F167" i="7"/>
  <c r="E79" i="7"/>
  <c r="H129" i="7"/>
  <c r="F115" i="7"/>
  <c r="B113" i="7"/>
  <c r="E112" i="7"/>
  <c r="E21" i="7"/>
  <c r="F47" i="7"/>
  <c r="C67" i="7"/>
  <c r="B96" i="7"/>
  <c r="E192" i="7"/>
  <c r="H73" i="7"/>
  <c r="C69" i="7"/>
  <c r="H116" i="7"/>
  <c r="D105" i="7"/>
  <c r="H87" i="7"/>
  <c r="G87" i="7"/>
  <c r="E317" i="7"/>
  <c r="B156" i="7"/>
  <c r="D86" i="7"/>
  <c r="C148" i="7"/>
  <c r="E122" i="7"/>
  <c r="G168" i="7"/>
  <c r="G165" i="7"/>
  <c r="E138" i="7"/>
  <c r="C124" i="7"/>
  <c r="C173" i="7"/>
  <c r="D96" i="7"/>
  <c r="Q11" i="7" s="1"/>
  <c r="H11" i="13" s="1"/>
  <c r="G84" i="7"/>
  <c r="D55" i="7"/>
  <c r="C55" i="7"/>
  <c r="H99" i="7"/>
  <c r="F62" i="7"/>
  <c r="D22" i="7"/>
  <c r="D129" i="7"/>
  <c r="H122" i="7"/>
  <c r="H169" i="7"/>
  <c r="C95" i="7"/>
  <c r="F83" i="7"/>
  <c r="B54" i="7"/>
  <c r="G53" i="7"/>
  <c r="B97" i="7"/>
  <c r="D312" i="7"/>
  <c r="C203" i="7"/>
  <c r="G335" i="7"/>
  <c r="D167" i="7"/>
  <c r="D283" i="7"/>
  <c r="H173" i="7"/>
  <c r="D247" i="7"/>
  <c r="E102" i="7"/>
  <c r="C179" i="7"/>
  <c r="E224" i="7"/>
  <c r="B91" i="7"/>
  <c r="F258" i="7"/>
  <c r="F178" i="7"/>
  <c r="F187" i="7"/>
  <c r="G218" i="7"/>
  <c r="D171" i="7"/>
  <c r="C195" i="7"/>
  <c r="H229" i="7"/>
  <c r="G103" i="7"/>
  <c r="H89" i="7"/>
  <c r="G222" i="7"/>
  <c r="C205" i="7"/>
  <c r="D135" i="7"/>
  <c r="G237" i="7"/>
  <c r="G140" i="7"/>
  <c r="G197" i="7"/>
  <c r="E124" i="7"/>
  <c r="D148" i="7"/>
  <c r="G137" i="7"/>
  <c r="C116" i="7"/>
  <c r="C164" i="7"/>
  <c r="C235" i="7"/>
  <c r="F301" i="7"/>
  <c r="H188" i="7"/>
  <c r="E194" i="7"/>
  <c r="B237" i="7"/>
  <c r="C178" i="7"/>
  <c r="H205" i="7"/>
  <c r="H128" i="7"/>
  <c r="F110" i="7"/>
  <c r="G96" i="7"/>
  <c r="E191" i="7"/>
  <c r="D77" i="7"/>
  <c r="D70" i="7"/>
  <c r="B118" i="7"/>
  <c r="E106" i="7"/>
  <c r="F89" i="7"/>
  <c r="E89" i="7"/>
  <c r="D21" i="7"/>
  <c r="E38" i="7"/>
  <c r="E53" i="7"/>
  <c r="G79" i="7"/>
  <c r="E137" i="7"/>
  <c r="D170" i="7"/>
  <c r="B60" i="7"/>
  <c r="G107" i="7"/>
  <c r="C96" i="7"/>
  <c r="C73" i="7"/>
  <c r="B73" i="7"/>
  <c r="F232" i="7"/>
  <c r="B123" i="7"/>
  <c r="C77" i="7"/>
  <c r="G125" i="7"/>
  <c r="D113" i="7"/>
  <c r="G106" i="7"/>
  <c r="D106" i="7"/>
  <c r="D195" i="7"/>
  <c r="G113" i="7"/>
  <c r="F148" i="7"/>
  <c r="B195" i="7"/>
  <c r="F75" i="7"/>
  <c r="F45" i="7"/>
  <c r="E45" i="7"/>
  <c r="B82" i="7"/>
  <c r="G114" i="7"/>
  <c r="E13" i="7"/>
  <c r="C186" i="7"/>
  <c r="E111" i="7"/>
  <c r="G145" i="7"/>
  <c r="H185" i="7"/>
  <c r="E74" i="7"/>
  <c r="E44" i="7"/>
  <c r="D44" i="7"/>
  <c r="B80" i="7"/>
  <c r="H111" i="7"/>
  <c r="E283" i="7"/>
  <c r="G224" i="7"/>
  <c r="B266" i="7"/>
  <c r="D192" i="7"/>
  <c r="Y11" i="7" s="1"/>
  <c r="P11" i="13" s="1"/>
  <c r="B206" i="7"/>
  <c r="C193" i="7"/>
  <c r="G199" i="7"/>
  <c r="B128" i="7"/>
  <c r="D150" i="7"/>
  <c r="H135" i="7"/>
  <c r="F63" i="7"/>
  <c r="B222" i="7"/>
  <c r="F162" i="7"/>
  <c r="E178" i="7"/>
  <c r="H197" i="7"/>
  <c r="C162" i="7"/>
  <c r="B186" i="7"/>
  <c r="F168" i="7"/>
  <c r="F94" i="7"/>
  <c r="G80" i="7"/>
  <c r="H272" i="7"/>
  <c r="F265" i="7"/>
  <c r="H222" i="7"/>
  <c r="B213" i="7"/>
  <c r="F131" i="7"/>
  <c r="E188" i="7"/>
  <c r="D233" i="7"/>
  <c r="C139" i="7"/>
  <c r="H120" i="7"/>
  <c r="B107" i="7"/>
  <c r="B140" i="7"/>
  <c r="C348" i="7"/>
  <c r="E249" i="7"/>
  <c r="C175" i="7"/>
  <c r="D185" i="7"/>
  <c r="G212" i="7"/>
  <c r="B169" i="7"/>
  <c r="H192" i="7"/>
  <c r="G192" i="7"/>
  <c r="E101" i="7"/>
  <c r="F87" i="7"/>
  <c r="G147" i="7"/>
  <c r="D173" i="7"/>
  <c r="C61" i="7"/>
  <c r="H108" i="7"/>
  <c r="D97" i="7"/>
  <c r="C75" i="7"/>
  <c r="G74" i="7"/>
  <c r="E17" i="7"/>
  <c r="D29" i="7"/>
  <c r="B44" i="7"/>
  <c r="B65" i="7"/>
  <c r="G156" i="7"/>
  <c r="H130" i="7"/>
  <c r="B179" i="7"/>
  <c r="F98" i="7"/>
  <c r="B87" i="7"/>
  <c r="F58" i="7"/>
  <c r="D58" i="7"/>
  <c r="H155" i="7"/>
  <c r="C68" i="7"/>
  <c r="B68" i="7"/>
  <c r="G115" i="7"/>
  <c r="C104" i="7"/>
  <c r="G297" i="7"/>
  <c r="F210" i="7"/>
  <c r="B269" i="7"/>
  <c r="E214" i="7"/>
  <c r="G206" i="7"/>
  <c r="F274" i="7"/>
  <c r="E181" i="7"/>
  <c r="B289" i="7"/>
  <c r="F267" i="7"/>
  <c r="G301" i="7"/>
  <c r="G159" i="7"/>
  <c r="D244" i="7"/>
  <c r="D226" i="7"/>
  <c r="H140" i="7"/>
  <c r="C160" i="7"/>
  <c r="H261" i="7"/>
  <c r="H143" i="7"/>
  <c r="G167" i="7"/>
  <c r="E202" i="7"/>
  <c r="F152" i="7"/>
  <c r="E62" i="7"/>
  <c r="D357" i="7"/>
  <c r="F250" i="7"/>
  <c r="D176" i="7"/>
  <c r="E186" i="7"/>
  <c r="B216" i="7"/>
  <c r="C170" i="7"/>
  <c r="B194" i="7"/>
  <c r="G205" i="7"/>
  <c r="F102" i="7"/>
  <c r="G88" i="7"/>
  <c r="F112" i="7"/>
  <c r="C220" i="7"/>
  <c r="C200" i="7"/>
  <c r="H148" i="7"/>
  <c r="B167" i="7"/>
  <c r="D186" i="7"/>
  <c r="G150" i="7"/>
  <c r="F174" i="7"/>
  <c r="H137" i="7"/>
  <c r="H170" i="7"/>
  <c r="D69" i="7"/>
  <c r="C185" i="7"/>
  <c r="C117" i="7"/>
  <c r="G157" i="7"/>
  <c r="F90" i="7"/>
  <c r="B79" i="7"/>
  <c r="B49" i="7"/>
  <c r="B109" i="7"/>
  <c r="B104" i="7"/>
  <c r="G25" i="7"/>
  <c r="G42" i="7"/>
  <c r="E140" i="7"/>
  <c r="G105" i="7"/>
  <c r="D130" i="7"/>
  <c r="C169" i="7"/>
  <c r="G68" i="7"/>
  <c r="G38" i="7"/>
  <c r="F38" i="7"/>
  <c r="F147" i="7"/>
  <c r="B126" i="7"/>
  <c r="B176" i="7"/>
  <c r="E97" i="7"/>
  <c r="H85" i="7"/>
  <c r="H56" i="7"/>
  <c r="E204" i="7"/>
  <c r="E131" i="7"/>
  <c r="C85" i="7"/>
  <c r="C145" i="7"/>
  <c r="D121" i="7"/>
  <c r="F144" i="7"/>
  <c r="D141" i="7"/>
  <c r="B18" i="7"/>
  <c r="C44" i="7"/>
  <c r="F61" i="7"/>
  <c r="G263" i="7"/>
  <c r="F118" i="7"/>
  <c r="B84" i="7"/>
  <c r="D142" i="7"/>
  <c r="C120" i="7"/>
  <c r="H125" i="7"/>
  <c r="C125" i="7"/>
  <c r="H16" i="7"/>
  <c r="B43" i="7"/>
  <c r="F370" i="7"/>
  <c r="D246" i="7"/>
  <c r="B254" i="7"/>
  <c r="H234" i="7"/>
  <c r="D228" i="7"/>
  <c r="AB11" i="7" s="1"/>
  <c r="S11" i="13" s="1"/>
  <c r="E145" i="7"/>
  <c r="C156" i="7"/>
  <c r="H183" i="7"/>
  <c r="E153" i="7"/>
  <c r="H250" i="7"/>
  <c r="G226" i="7"/>
  <c r="D229" i="7"/>
  <c r="B173" i="7"/>
  <c r="F130" i="7"/>
  <c r="B151" i="7"/>
  <c r="G221" i="7"/>
  <c r="G134" i="7"/>
  <c r="F158" i="7"/>
  <c r="C165" i="7"/>
  <c r="C128" i="7"/>
  <c r="G220" i="7"/>
  <c r="H257" i="7"/>
  <c r="B214" i="7"/>
  <c r="E161" i="7"/>
  <c r="D177" i="7"/>
  <c r="F196" i="7"/>
  <c r="B161" i="7"/>
  <c r="H184" i="7"/>
  <c r="D165" i="7"/>
  <c r="E93" i="7"/>
  <c r="F79" i="7"/>
  <c r="E329" i="7"/>
  <c r="G278" i="7"/>
  <c r="H201" i="7"/>
  <c r="F138" i="7"/>
  <c r="H157" i="7"/>
  <c r="F243" i="7"/>
  <c r="F141" i="7"/>
  <c r="E165" i="7"/>
  <c r="E183" i="7"/>
  <c r="D146" i="7"/>
  <c r="C60" i="7"/>
  <c r="F149" i="7"/>
  <c r="H106" i="7"/>
  <c r="D133" i="7"/>
  <c r="C172" i="7"/>
  <c r="H69" i="7"/>
  <c r="H39" i="7"/>
  <c r="H48" i="7"/>
  <c r="D87" i="7"/>
  <c r="B124" i="7"/>
  <c r="F16" i="7"/>
  <c r="F33" i="7"/>
  <c r="D164" i="7"/>
  <c r="F96" i="7"/>
  <c r="F175" i="7"/>
  <c r="G144" i="7"/>
  <c r="F59" i="7"/>
  <c r="F29" i="7"/>
  <c r="E29" i="7"/>
  <c r="F212" i="7"/>
  <c r="H114" i="7"/>
  <c r="F151" i="7"/>
  <c r="F211" i="7"/>
  <c r="G76" i="7"/>
  <c r="G46" i="7"/>
  <c r="H345" i="7"/>
  <c r="H113" i="7"/>
  <c r="B76" i="7"/>
  <c r="G123" i="7"/>
  <c r="C112" i="7"/>
  <c r="H103" i="7"/>
  <c r="D103" i="7"/>
  <c r="F14" i="7"/>
  <c r="B35" i="7"/>
  <c r="G49" i="7"/>
  <c r="J65" i="7" s="1"/>
  <c r="E256" i="7"/>
  <c r="G104" i="7"/>
  <c r="H74" i="7"/>
  <c r="F122" i="7"/>
  <c r="B111" i="7"/>
  <c r="F100" i="7"/>
  <c r="E100" i="7"/>
  <c r="G35" i="7"/>
  <c r="H33" i="7"/>
  <c r="H305" i="7"/>
  <c r="F305" i="7"/>
  <c r="G176" i="7"/>
  <c r="C209" i="7"/>
  <c r="C176" i="7"/>
  <c r="G133" i="7"/>
  <c r="H34" i="7"/>
  <c r="G47" i="7"/>
  <c r="G85" i="7"/>
  <c r="B163" i="7"/>
  <c r="D67" i="7"/>
  <c r="E216" i="7"/>
  <c r="E166" i="7"/>
  <c r="G67" i="7"/>
  <c r="C121" i="7"/>
  <c r="G59" i="7"/>
  <c r="C227" i="7"/>
  <c r="E109" i="7"/>
  <c r="H82" i="7"/>
  <c r="B139" i="7"/>
  <c r="B119" i="7"/>
  <c r="C122" i="7"/>
  <c r="F121" i="7"/>
  <c r="G15" i="7"/>
  <c r="H41" i="7"/>
  <c r="B58" i="7"/>
  <c r="B300" i="7"/>
  <c r="D100" i="7"/>
  <c r="G81" i="7"/>
  <c r="B136" i="7"/>
  <c r="H117" i="7"/>
  <c r="H118" i="7"/>
  <c r="G118" i="7"/>
  <c r="G14" i="7"/>
  <c r="G40" i="7"/>
  <c r="D56" i="7"/>
  <c r="D83" i="7"/>
  <c r="C23" i="7"/>
  <c r="F117" i="7"/>
  <c r="H46" i="7"/>
  <c r="G69" i="7"/>
  <c r="C24" i="7"/>
  <c r="B46" i="7"/>
  <c r="H88" i="7"/>
  <c r="C54" i="7"/>
  <c r="C133" i="7"/>
  <c r="C28" i="7"/>
  <c r="E48" i="7"/>
  <c r="B72" i="7"/>
  <c r="G62" i="7"/>
  <c r="C18" i="7"/>
  <c r="D107" i="7"/>
  <c r="H126" i="7"/>
  <c r="B83" i="7"/>
  <c r="F85" i="7"/>
  <c r="H75" i="7"/>
  <c r="B105" i="7"/>
  <c r="E98" i="7"/>
  <c r="G117" i="7"/>
  <c r="H35" i="7"/>
  <c r="E54" i="7"/>
  <c r="C48" i="7"/>
  <c r="F20" i="7"/>
  <c r="E96" i="7"/>
  <c r="F27" i="7"/>
  <c r="G136" i="7"/>
  <c r="F74" i="7"/>
  <c r="D72" i="7"/>
  <c r="O11" i="7" s="1"/>
  <c r="F11" i="13" s="1"/>
  <c r="F86" i="7"/>
  <c r="B90" i="7"/>
  <c r="D138" i="7"/>
  <c r="G158" i="7"/>
  <c r="H86" i="7"/>
  <c r="H365" i="7"/>
  <c r="D223" i="7"/>
  <c r="F71" i="7"/>
  <c r="B130" i="7"/>
  <c r="E195" i="7"/>
  <c r="D182" i="7"/>
  <c r="B52" i="7"/>
  <c r="E334" i="7"/>
  <c r="C71" i="7"/>
  <c r="H138" i="7"/>
  <c r="F53" i="7"/>
  <c r="E227" i="7"/>
  <c r="E113" i="7"/>
  <c r="D35" i="7"/>
  <c r="E65" i="7"/>
  <c r="F48" i="7"/>
  <c r="F280" i="7"/>
  <c r="F95" i="7"/>
  <c r="G73" i="7"/>
  <c r="E121" i="7"/>
  <c r="H109" i="7"/>
  <c r="F97" i="7"/>
  <c r="C97" i="7"/>
  <c r="D32" i="7"/>
  <c r="G32" i="7"/>
  <c r="E47" i="7"/>
  <c r="E241" i="7"/>
  <c r="E86" i="7"/>
  <c r="F72" i="7"/>
  <c r="D120" i="7"/>
  <c r="S11" i="7" s="1"/>
  <c r="J11" i="13" s="1"/>
  <c r="G108" i="7"/>
  <c r="G94" i="7"/>
  <c r="C94" i="7"/>
  <c r="G27" i="7"/>
  <c r="F31" i="7"/>
  <c r="D46" i="7"/>
  <c r="E159" i="7"/>
  <c r="H102" i="7"/>
  <c r="E81" i="7"/>
  <c r="H110" i="7"/>
  <c r="H119" i="7"/>
  <c r="B15" i="7"/>
  <c r="F113" i="7"/>
  <c r="D14" i="7"/>
  <c r="E49" i="7"/>
  <c r="G116" i="7"/>
  <c r="E135" i="7"/>
  <c r="C38" i="7"/>
  <c r="E57" i="7"/>
  <c r="E50" i="7"/>
  <c r="H15" i="7"/>
  <c r="E27" i="7"/>
  <c r="H38" i="7"/>
  <c r="E71" i="7"/>
  <c r="G48" i="7"/>
  <c r="E59" i="7"/>
  <c r="H84" i="7"/>
  <c r="H76" i="7"/>
  <c r="C65" i="7"/>
  <c r="F25" i="7"/>
  <c r="H44" i="7"/>
  <c r="B39" i="7"/>
  <c r="B40" i="7"/>
  <c r="F32" i="7"/>
  <c r="H14" i="7"/>
  <c r="C188" i="7"/>
  <c r="D45" i="7"/>
  <c r="B56" i="7"/>
  <c r="C81" i="7"/>
  <c r="H71" i="7"/>
  <c r="C33" i="7"/>
  <c r="F39" i="7"/>
  <c r="G36" i="7"/>
  <c r="B108" i="7"/>
  <c r="B69" i="7"/>
  <c r="F68" i="7"/>
  <c r="F92" i="7"/>
  <c r="G82" i="7"/>
  <c r="F82" i="7"/>
  <c r="H61" i="7"/>
  <c r="E83" i="7"/>
  <c r="B81" i="7"/>
  <c r="F193" i="7"/>
  <c r="C151" i="7"/>
  <c r="D236" i="7"/>
  <c r="G111" i="7"/>
  <c r="H159" i="7"/>
  <c r="G99" i="7"/>
  <c r="G236" i="7"/>
  <c r="D158" i="7"/>
  <c r="B283" i="7"/>
  <c r="E66" i="7"/>
  <c r="H25" i="7"/>
  <c r="H136" i="7"/>
  <c r="B160" i="7"/>
  <c r="C26" i="7"/>
  <c r="D52" i="7"/>
  <c r="E39" i="7"/>
  <c r="G187" i="7"/>
  <c r="F55" i="7"/>
  <c r="F64" i="7"/>
  <c r="D112" i="7"/>
  <c r="G100" i="7"/>
  <c r="E80" i="7"/>
  <c r="D80" i="7"/>
  <c r="E55" i="7"/>
  <c r="F23" i="7"/>
  <c r="D38" i="7"/>
  <c r="G171" i="7"/>
  <c r="F259" i="7"/>
  <c r="E63" i="7"/>
  <c r="C111" i="7"/>
  <c r="F99" i="7"/>
  <c r="G78" i="7"/>
  <c r="F78" i="7"/>
  <c r="B48" i="7"/>
  <c r="E22" i="7"/>
  <c r="C37" i="7"/>
  <c r="G89" i="7"/>
  <c r="E56" i="7"/>
  <c r="C63" i="7"/>
  <c r="E88" i="7"/>
  <c r="D95" i="7"/>
  <c r="E116" i="7"/>
  <c r="E75" i="7"/>
  <c r="D79" i="7"/>
  <c r="D98" i="7"/>
  <c r="H115" i="7"/>
  <c r="B78" i="7"/>
  <c r="H27" i="7"/>
  <c r="C47" i="7"/>
  <c r="D41" i="7"/>
  <c r="H28" i="7"/>
  <c r="H30" i="7"/>
  <c r="E40" i="7"/>
  <c r="C119" i="7"/>
  <c r="B27" i="7"/>
  <c r="D47" i="7"/>
  <c r="C70" i="7"/>
  <c r="F76" i="7"/>
  <c r="B36" i="7"/>
  <c r="E16" i="7"/>
  <c r="D24" i="7"/>
  <c r="K11" i="7" s="1"/>
  <c r="B11" i="13" s="1"/>
  <c r="H29" i="7"/>
  <c r="D194" i="7"/>
  <c r="F70" i="7"/>
  <c r="G66" i="7"/>
  <c r="H100" i="7"/>
  <c r="F15" i="7"/>
  <c r="B45" i="7"/>
  <c r="F66" i="7"/>
  <c r="C57" i="7"/>
  <c r="F28" i="7"/>
  <c r="G54" i="7"/>
  <c r="B88" i="7"/>
  <c r="F136" i="7"/>
  <c r="D37" i="7"/>
  <c r="D53" i="7"/>
  <c r="F77" i="7"/>
  <c r="D68" i="7"/>
  <c r="D19" i="7"/>
  <c r="H31" i="7"/>
  <c r="H50" i="7"/>
  <c r="D25" i="7"/>
  <c r="F157" i="7"/>
  <c r="D169" i="7"/>
  <c r="G304" i="7"/>
  <c r="H97" i="7"/>
  <c r="G183" i="7"/>
  <c r="C88" i="7"/>
  <c r="B116" i="7"/>
  <c r="H58" i="7"/>
  <c r="B146" i="7"/>
  <c r="D57" i="7"/>
  <c r="C91" i="7"/>
  <c r="B59" i="7"/>
  <c r="F135" i="7"/>
  <c r="C82" i="7"/>
  <c r="G24" i="7"/>
  <c r="D30" i="7"/>
  <c r="D193" i="7"/>
  <c r="H145" i="7"/>
  <c r="F217" i="7"/>
  <c r="C103" i="7"/>
  <c r="F91" i="7"/>
  <c r="B66" i="7"/>
  <c r="F65" i="7"/>
  <c r="C118" i="7"/>
  <c r="E25" i="7"/>
  <c r="C29" i="7"/>
  <c r="C184" i="7"/>
  <c r="H142" i="7"/>
  <c r="D197" i="7"/>
  <c r="B102" i="7"/>
  <c r="E90" i="7"/>
  <c r="B64" i="7"/>
  <c r="H63" i="7"/>
  <c r="D115" i="7"/>
  <c r="G19" i="7"/>
  <c r="B28" i="7"/>
  <c r="D157" i="7"/>
  <c r="E30" i="7"/>
  <c r="F49" i="7"/>
  <c r="B74" i="7"/>
  <c r="C79" i="7"/>
  <c r="H67" i="7"/>
  <c r="D49" i="7"/>
  <c r="C13" i="7"/>
  <c r="E34" i="7"/>
  <c r="E115" i="7"/>
  <c r="H42" i="7"/>
  <c r="G18" i="7"/>
  <c r="F34" i="7"/>
  <c r="C32" i="7"/>
  <c r="D50" i="7"/>
  <c r="F54" i="7"/>
  <c r="D90" i="7"/>
  <c r="F107" i="7"/>
  <c r="B121" i="7"/>
  <c r="B37" i="7"/>
  <c r="H55" i="7"/>
  <c r="D28" i="7"/>
  <c r="E14" i="7"/>
  <c r="D16" i="7"/>
  <c r="G45" i="7"/>
  <c r="G20" i="7"/>
  <c r="G91" i="7"/>
  <c r="E32" i="7"/>
  <c r="G75" i="7"/>
  <c r="D89" i="7"/>
  <c r="G102" i="7"/>
  <c r="G34" i="7"/>
  <c r="C53" i="7"/>
  <c r="B47" i="7"/>
  <c r="G29" i="7"/>
  <c r="F60" i="7"/>
  <c r="C30" i="7"/>
  <c r="E175" i="7"/>
  <c r="C14" i="7"/>
  <c r="F41" i="7"/>
  <c r="H62" i="7"/>
  <c r="D54" i="7"/>
  <c r="H13" i="7"/>
  <c r="F46" i="7"/>
  <c r="F24" i="7"/>
  <c r="D26" i="7"/>
  <c r="G110" i="7"/>
  <c r="G122" i="7"/>
  <c r="D63" i="7"/>
  <c r="D201" i="7"/>
  <c r="F188" i="7"/>
  <c r="B190" i="7"/>
  <c r="G121" i="7"/>
  <c r="D162" i="7"/>
  <c r="E60" i="7"/>
  <c r="H154" i="7"/>
  <c r="F106" i="7"/>
  <c r="E103" i="7"/>
  <c r="E36" i="7"/>
  <c r="D76" i="7"/>
  <c r="D102" i="7"/>
  <c r="H101" i="7"/>
  <c r="E67" i="7"/>
  <c r="C31" i="7"/>
  <c r="C21" i="7"/>
  <c r="D234" i="7"/>
  <c r="F120" i="7"/>
  <c r="H166" i="7"/>
  <c r="B94" i="7"/>
  <c r="E82" i="7"/>
  <c r="F52" i="7"/>
  <c r="E52" i="7"/>
  <c r="G93" i="7"/>
  <c r="G184" i="7"/>
  <c r="B20" i="7"/>
  <c r="F209" i="7"/>
  <c r="E119" i="7"/>
  <c r="B164" i="7"/>
  <c r="H92" i="7"/>
  <c r="D81" i="7"/>
  <c r="D51" i="7"/>
  <c r="C51" i="7"/>
  <c r="D91" i="7"/>
  <c r="F159" i="7"/>
  <c r="H18" i="7"/>
  <c r="C127" i="7"/>
  <c r="G71" i="7"/>
  <c r="D39" i="7"/>
  <c r="D59" i="7"/>
  <c r="E64" i="7"/>
  <c r="E35" i="7"/>
  <c r="B31" i="7"/>
  <c r="G55" i="7"/>
  <c r="E19" i="7"/>
  <c r="E37" i="7"/>
  <c r="G17" i="7"/>
  <c r="F26" i="7"/>
  <c r="G58" i="7"/>
  <c r="B23" i="7"/>
  <c r="C90" i="7"/>
  <c r="B120" i="7"/>
  <c r="H80" i="7"/>
  <c r="H91" i="7"/>
  <c r="H68" i="7"/>
  <c r="G26" i="7"/>
  <c r="C159" i="7"/>
  <c r="C41" i="7"/>
  <c r="B93" i="7"/>
  <c r="C129" i="7"/>
  <c r="B172" i="7"/>
  <c r="C50" i="7"/>
  <c r="H78" i="7"/>
  <c r="C62" i="7"/>
  <c r="E24" i="7"/>
  <c r="B181" i="7"/>
  <c r="H182" i="7"/>
  <c r="H176" i="7"/>
  <c r="G244" i="7"/>
  <c r="H212" i="7"/>
  <c r="E78" i="7"/>
  <c r="H193" i="7"/>
  <c r="H77" i="7"/>
  <c r="B86" i="7"/>
  <c r="D241" i="7"/>
  <c r="D36" i="7"/>
  <c r="L11" i="7" s="1"/>
  <c r="C11" i="13" s="1"/>
  <c r="E43" i="7"/>
  <c r="G65" i="7"/>
  <c r="C56" i="7"/>
  <c r="B26" i="7"/>
  <c r="B89" i="7"/>
  <c r="C181" i="7"/>
  <c r="G202" i="7"/>
  <c r="C101" i="7"/>
  <c r="C196" i="7"/>
  <c r="C157" i="7"/>
  <c r="C64" i="7"/>
  <c r="C34" i="7"/>
  <c r="B34" i="7"/>
  <c r="G63" i="7"/>
  <c r="C87" i="7"/>
  <c r="F156" i="7"/>
  <c r="G191" i="7"/>
  <c r="B100" i="7"/>
  <c r="B187" i="7"/>
  <c r="H153" i="7"/>
  <c r="B63" i="7"/>
  <c r="B33" i="7"/>
  <c r="H32" i="7"/>
  <c r="G61" i="7"/>
  <c r="E85" i="7"/>
  <c r="C132" i="7"/>
  <c r="G22" i="7"/>
  <c r="C45" i="7"/>
  <c r="H19" i="7"/>
  <c r="E42" i="7"/>
  <c r="B17" i="7"/>
  <c r="C49" i="7"/>
  <c r="G37" i="7"/>
  <c r="B224" i="7"/>
  <c r="C89" i="7"/>
  <c r="G77" i="7"/>
  <c r="H107" i="7"/>
  <c r="E92" i="7"/>
  <c r="C113" i="7"/>
  <c r="C40" i="7"/>
  <c r="E104" i="7"/>
  <c r="C16" i="7"/>
  <c r="G31" i="7"/>
  <c r="E15" i="7"/>
  <c r="H20" i="7"/>
  <c r="D62" i="7"/>
  <c r="C245" i="7"/>
  <c r="H168" i="7"/>
  <c r="B144" i="7"/>
  <c r="D179" i="7"/>
  <c r="D160" i="7"/>
  <c r="H165" i="7"/>
  <c r="B19" i="7"/>
  <c r="H47" i="7"/>
  <c r="D71" i="7"/>
  <c r="G169" i="7"/>
  <c r="C27" i="7"/>
  <c r="D111" i="7"/>
  <c r="H214" i="7"/>
  <c r="D82" i="7"/>
  <c r="C66" i="7"/>
  <c r="D74" i="7"/>
  <c r="E108" i="7"/>
  <c r="G127" i="7"/>
  <c r="B92" i="7"/>
  <c r="E163" i="7"/>
  <c r="F132" i="7"/>
  <c r="B55" i="7"/>
  <c r="B25" i="7"/>
  <c r="H24" i="7"/>
  <c r="B51" i="7"/>
  <c r="E72" i="7"/>
  <c r="C105" i="7"/>
  <c r="F183" i="7"/>
  <c r="H90" i="7"/>
  <c r="F160" i="7"/>
  <c r="G129" i="7"/>
  <c r="H53" i="7"/>
  <c r="H23" i="7"/>
  <c r="G23" i="7"/>
  <c r="H49" i="7"/>
  <c r="G70" i="7"/>
  <c r="C102" i="7"/>
  <c r="H40" i="7"/>
  <c r="E23" i="7"/>
  <c r="E33" i="7"/>
  <c r="H36" i="7"/>
  <c r="D33" i="7"/>
  <c r="G21" i="7"/>
  <c r="B16" i="7"/>
  <c r="G50" i="7"/>
  <c r="F80" i="7"/>
  <c r="H54" i="7"/>
  <c r="E61" i="7"/>
  <c r="G86" i="7"/>
  <c r="E77" i="7"/>
  <c r="B57" i="7"/>
  <c r="H21" i="7"/>
  <c r="H45" i="7"/>
  <c r="H204" i="7"/>
  <c r="C86" i="7"/>
  <c r="D99" i="7"/>
  <c r="G153" i="7"/>
  <c r="B110" i="7"/>
  <c r="C20" i="7"/>
  <c r="C46" i="7"/>
  <c r="E68" i="7"/>
  <c r="C59" i="7"/>
  <c r="E20" i="7"/>
  <c r="F13" i="7"/>
  <c r="B70" i="7"/>
  <c r="B175" i="7"/>
  <c r="H162" i="7"/>
  <c r="G90" i="7"/>
  <c r="D123" i="7"/>
  <c r="E107" i="7"/>
  <c r="E147" i="7"/>
  <c r="F56" i="7"/>
  <c r="F42" i="7"/>
  <c r="D119" i="7"/>
  <c r="G13" i="7"/>
  <c r="J29" i="7" s="1"/>
  <c r="E51" i="7"/>
  <c r="D64" i="7"/>
  <c r="B127" i="7"/>
  <c r="D17" i="7"/>
  <c r="G181" i="7"/>
  <c r="C36" i="7"/>
  <c r="C39" i="7"/>
  <c r="G98" i="7"/>
  <c r="F84" i="7"/>
  <c r="B112" i="7"/>
  <c r="B117" i="7"/>
  <c r="F195" i="7"/>
  <c r="F40" i="7"/>
  <c r="E142" i="7"/>
  <c r="H167" i="7"/>
  <c r="F105" i="7"/>
  <c r="B13" i="7"/>
  <c r="H60" i="7"/>
  <c r="E46" i="7"/>
  <c r="F44" i="7"/>
  <c r="F22" i="7"/>
  <c r="H37" i="7"/>
  <c r="H95" i="7"/>
  <c r="C52" i="7"/>
  <c r="F101" i="7"/>
  <c r="H150" i="7"/>
  <c r="G256" i="7"/>
  <c r="C93" i="7"/>
  <c r="D181" i="7"/>
  <c r="C109" i="7"/>
  <c r="C15" i="7"/>
  <c r="E18" i="7"/>
  <c r="H51" i="7"/>
  <c r="C74" i="7"/>
  <c r="C19" i="7"/>
  <c r="G33" i="7"/>
  <c r="G28" i="7"/>
  <c r="C114" i="7"/>
  <c r="H26" i="7"/>
  <c r="G44" i="7"/>
  <c r="G16" i="7"/>
  <c r="E139" i="7"/>
  <c r="F57" i="7"/>
  <c r="D92" i="7"/>
  <c r="D40" i="7"/>
  <c r="F35" i="7"/>
  <c r="G268" i="7"/>
  <c r="D65" i="7"/>
  <c r="D73" i="7"/>
  <c r="G52" i="7"/>
  <c r="G248" i="7"/>
  <c r="D66" i="7"/>
  <c r="H70" i="7"/>
  <c r="F19" i="7"/>
  <c r="D31" i="7"/>
  <c r="C106" i="7"/>
  <c r="B21" i="7"/>
  <c r="D60" i="7"/>
  <c r="N11" i="7" s="1"/>
  <c r="E11" i="13" s="1"/>
  <c r="C35" i="7"/>
  <c r="D43" i="7"/>
  <c r="D178" i="7"/>
  <c r="H79" i="7"/>
  <c r="C110" i="7"/>
  <c r="E91" i="7"/>
  <c r="G101" i="7"/>
  <c r="H64" i="7"/>
  <c r="D15" i="7"/>
  <c r="D118" i="7"/>
  <c r="B53" i="7"/>
  <c r="C22" i="7"/>
  <c r="E26" i="7"/>
  <c r="H59" i="7"/>
  <c r="B14" i="7"/>
  <c r="B62" i="7"/>
  <c r="F93" i="7"/>
  <c r="H235" i="7"/>
  <c r="H52" i="7"/>
  <c r="C43" i="7"/>
  <c r="C72" i="7"/>
  <c r="B29" i="7"/>
  <c r="D114" i="7"/>
  <c r="G41" i="7"/>
  <c r="C83" i="7"/>
  <c r="E150" i="7"/>
  <c r="C98" i="7"/>
  <c r="G160" i="7"/>
  <c r="B71" i="7"/>
  <c r="D13" i="7"/>
  <c r="D122" i="7"/>
  <c r="E84" i="7"/>
  <c r="B22" i="7"/>
  <c r="H98" i="7"/>
  <c r="B95" i="7"/>
  <c r="B30" i="7"/>
  <c r="C78" i="7"/>
  <c r="C42" i="7"/>
  <c r="D48" i="7"/>
  <c r="M11" i="7" s="1"/>
  <c r="D11" i="13" s="1"/>
  <c r="H177" i="7"/>
  <c r="F17" i="7"/>
  <c r="D88" i="7"/>
  <c r="F43" i="7"/>
  <c r="G43" i="7"/>
  <c r="C80" i="7"/>
  <c r="B41" i="7"/>
  <c r="F50" i="7"/>
  <c r="B24" i="7"/>
  <c r="E123" i="7"/>
  <c r="D27" i="7"/>
  <c r="F36" i="7"/>
  <c r="H94" i="7"/>
  <c r="D23" i="7"/>
  <c r="E238" i="7"/>
  <c r="D94" i="7"/>
  <c r="B177" i="7"/>
  <c r="F108" i="7"/>
  <c r="B42" i="7"/>
  <c r="G51" i="7"/>
  <c r="F116" i="7"/>
  <c r="E182" i="7"/>
  <c r="F73" i="7"/>
  <c r="B77" i="7"/>
  <c r="F18" i="7"/>
  <c r="H43" i="7"/>
  <c r="B50" i="7"/>
  <c r="E41" i="7"/>
  <c r="F182" i="7"/>
  <c r="B85" i="7"/>
  <c r="B153" i="7"/>
  <c r="D110" i="7"/>
  <c r="E76" i="7"/>
  <c r="G83" i="7"/>
  <c r="H174" i="7"/>
  <c r="B101" i="7"/>
  <c r="B61" i="7"/>
  <c r="H199" i="7"/>
  <c r="F206" i="7"/>
  <c r="E339" i="7"/>
  <c r="B338" i="7"/>
  <c r="C226" i="7"/>
  <c r="G290" i="7"/>
  <c r="F315" i="7"/>
  <c r="B326" i="7"/>
  <c r="E11" i="7"/>
  <c r="U11" i="7" l="1"/>
  <c r="L11" i="13" s="1"/>
  <c r="J185" i="7"/>
  <c r="J77" i="7"/>
  <c r="J137" i="7"/>
  <c r="J149" i="7"/>
  <c r="J125" i="7"/>
  <c r="J197" i="7"/>
  <c r="J89" i="7"/>
  <c r="P10" i="7" s="1"/>
  <c r="G10" i="13" s="1"/>
  <c r="J173" i="7"/>
  <c r="W10" i="7" s="1"/>
  <c r="N10" i="13" s="1"/>
  <c r="J221" i="7"/>
  <c r="AA10" i="7" s="1"/>
  <c r="R10" i="13" s="1"/>
  <c r="J257" i="7"/>
  <c r="AD10" i="7" s="1"/>
  <c r="U10" i="13" s="1"/>
  <c r="J281" i="7"/>
  <c r="J269" i="7"/>
  <c r="AE10" i="7" s="1"/>
  <c r="V10" i="13" s="1"/>
  <c r="J113" i="7"/>
  <c r="J41" i="7"/>
  <c r="L10" i="7" s="1"/>
  <c r="C10" i="13" s="1"/>
  <c r="J101" i="7"/>
  <c r="Q10" i="7" s="1"/>
  <c r="H10" i="13" s="1"/>
  <c r="J161" i="7"/>
  <c r="V10" i="7" s="1"/>
  <c r="M10" i="13" s="1"/>
  <c r="J209" i="7"/>
  <c r="Z10" i="7" s="1"/>
  <c r="Q10" i="13" s="1"/>
  <c r="J53" i="7"/>
  <c r="J233" i="7"/>
  <c r="J293" i="7"/>
  <c r="AG10" i="7" s="1"/>
  <c r="X10" i="13" s="1"/>
  <c r="I2" i="10"/>
  <c r="F13" i="12"/>
  <c r="F14" i="12" s="1"/>
  <c r="I19" i="12"/>
  <c r="H23" i="12"/>
  <c r="H24" i="12" s="1"/>
  <c r="H25" i="12" s="1"/>
  <c r="H27" i="12" s="1"/>
  <c r="G7" i="12"/>
  <c r="G9" i="12" s="1"/>
  <c r="G10" i="12" s="1"/>
  <c r="G11" i="12" s="1"/>
  <c r="G29" i="12"/>
  <c r="G30" i="12" s="1"/>
  <c r="I4" i="12"/>
  <c r="H8" i="12"/>
  <c r="H6" i="12"/>
  <c r="F13" i="11"/>
  <c r="F14" i="11" s="1"/>
  <c r="H6" i="11"/>
  <c r="H8" i="11"/>
  <c r="I4" i="11"/>
  <c r="G7" i="11"/>
  <c r="G9" i="11" s="1"/>
  <c r="G10" i="11" s="1"/>
  <c r="G11" i="11" s="1"/>
  <c r="G15" i="9"/>
  <c r="G16" i="9" s="1"/>
  <c r="H9" i="9"/>
  <c r="H10" i="9" s="1"/>
  <c r="H11" i="9" s="1"/>
  <c r="H13" i="9" s="1"/>
  <c r="I5" i="9"/>
  <c r="N39" i="3"/>
  <c r="E11" i="3"/>
  <c r="J329" i="7"/>
  <c r="J353" i="7"/>
  <c r="N10" i="7"/>
  <c r="E10" i="13" s="1"/>
  <c r="AC10" i="7"/>
  <c r="T10" i="13" s="1"/>
  <c r="J341" i="7"/>
  <c r="X10" i="7"/>
  <c r="O10" i="13" s="1"/>
  <c r="K10" i="7"/>
  <c r="B10" i="13" s="1"/>
  <c r="B26" i="17" s="1"/>
  <c r="B28" i="17" s="1"/>
  <c r="B29" i="17" s="1"/>
  <c r="B31" i="17" s="1"/>
  <c r="J317" i="7"/>
  <c r="AI10" i="7" s="1"/>
  <c r="Z10" i="13" s="1"/>
  <c r="M10" i="7"/>
  <c r="D10" i="13" s="1"/>
  <c r="AH10" i="7"/>
  <c r="Y10" i="13" s="1"/>
  <c r="O10" i="7"/>
  <c r="F10" i="13" s="1"/>
  <c r="T10" i="7"/>
  <c r="K10" i="13" s="1"/>
  <c r="U10" i="7"/>
  <c r="L10" i="13" s="1"/>
  <c r="R10" i="7"/>
  <c r="I10" i="13" s="1"/>
  <c r="S10" i="7"/>
  <c r="J10" i="13" s="1"/>
  <c r="Y10" i="7"/>
  <c r="P10" i="13" s="1"/>
  <c r="AF10" i="7"/>
  <c r="W10" i="13" s="1"/>
  <c r="AB10" i="7"/>
  <c r="S10" i="13" s="1"/>
  <c r="B32" i="17" l="1"/>
  <c r="B33" i="17"/>
  <c r="B23" i="15"/>
  <c r="B24" i="15" s="1"/>
  <c r="B26" i="15" s="1"/>
  <c r="B27" i="15" s="1"/>
  <c r="J2" i="10"/>
  <c r="B21" i="3"/>
  <c r="B23" i="3" s="1"/>
  <c r="B24" i="3" s="1"/>
  <c r="B21" i="14"/>
  <c r="B23" i="14" s="1"/>
  <c r="B24" i="14" s="1"/>
  <c r="B26" i="14" s="1"/>
  <c r="I6" i="12"/>
  <c r="J4" i="12"/>
  <c r="I8" i="12"/>
  <c r="G13" i="12"/>
  <c r="G14" i="12" s="1"/>
  <c r="H29" i="12"/>
  <c r="H30" i="12" s="1"/>
  <c r="H7" i="12"/>
  <c r="H9" i="12" s="1"/>
  <c r="H10" i="12" s="1"/>
  <c r="H11" i="12" s="1"/>
  <c r="J19" i="12"/>
  <c r="I23" i="12"/>
  <c r="I24" i="12" s="1"/>
  <c r="I25" i="12" s="1"/>
  <c r="I27" i="12" s="1"/>
  <c r="G13" i="11"/>
  <c r="G14" i="11"/>
  <c r="H7" i="11"/>
  <c r="H9" i="11" s="1"/>
  <c r="H10" i="11" s="1"/>
  <c r="H11" i="11" s="1"/>
  <c r="J4" i="11"/>
  <c r="I6" i="11"/>
  <c r="I8" i="11"/>
  <c r="I9" i="9"/>
  <c r="I10" i="9" s="1"/>
  <c r="I11" i="9" s="1"/>
  <c r="I13" i="9" s="1"/>
  <c r="J5" i="9"/>
  <c r="H15" i="9"/>
  <c r="H16" i="9" s="1"/>
  <c r="O39" i="3"/>
  <c r="F11" i="3"/>
  <c r="AC5" i="7"/>
  <c r="Z5" i="7"/>
  <c r="AA9" i="7"/>
  <c r="R9" i="13" s="1"/>
  <c r="AE5" i="7"/>
  <c r="AG9" i="7"/>
  <c r="X9" i="13" s="1"/>
  <c r="AA5" i="7"/>
  <c r="AG5" i="7"/>
  <c r="AD5" i="7"/>
  <c r="AE9" i="7"/>
  <c r="V9" i="13" s="1"/>
  <c r="AD9" i="7"/>
  <c r="U9" i="13" s="1"/>
  <c r="AI5" i="7"/>
  <c r="AI7" i="7" s="1"/>
  <c r="AI8" i="7" s="1"/>
  <c r="Z9" i="7"/>
  <c r="Q9" i="13" s="1"/>
  <c r="AI9" i="7"/>
  <c r="Z9" i="13" s="1"/>
  <c r="AC9" i="7"/>
  <c r="T9" i="13" s="1"/>
  <c r="AH5" i="7"/>
  <c r="AH9" i="7"/>
  <c r="Y9" i="13" s="1"/>
  <c r="AF9" i="7"/>
  <c r="W9" i="13" s="1"/>
  <c r="AF5" i="7"/>
  <c r="L5" i="7"/>
  <c r="AB5" i="7"/>
  <c r="AB9" i="7"/>
  <c r="S9" i="13" s="1"/>
  <c r="B28" i="15" l="1"/>
  <c r="B4" i="10"/>
  <c r="B10" i="10" s="1"/>
  <c r="B28" i="14"/>
  <c r="K2" i="10"/>
  <c r="B27" i="14"/>
  <c r="B34" i="14" s="1"/>
  <c r="B30" i="14"/>
  <c r="B31" i="14" s="1"/>
  <c r="B26" i="3"/>
  <c r="C14" i="17" s="1"/>
  <c r="H13" i="12"/>
  <c r="H14" i="12" s="1"/>
  <c r="I29" i="12"/>
  <c r="I30" i="12" s="1"/>
  <c r="K19" i="12"/>
  <c r="J23" i="12"/>
  <c r="J24" i="12" s="1"/>
  <c r="J25" i="12" s="1"/>
  <c r="J27" i="12" s="1"/>
  <c r="J8" i="12"/>
  <c r="K4" i="12"/>
  <c r="J6" i="12"/>
  <c r="I7" i="12"/>
  <c r="I9" i="12" s="1"/>
  <c r="I10" i="12" s="1"/>
  <c r="I11" i="12" s="1"/>
  <c r="H13" i="11"/>
  <c r="H14" i="11" s="1"/>
  <c r="I7" i="11"/>
  <c r="I9" i="11" s="1"/>
  <c r="I10" i="11" s="1"/>
  <c r="I11" i="11" s="1"/>
  <c r="K4" i="11"/>
  <c r="J8" i="11"/>
  <c r="J6" i="11"/>
  <c r="I15" i="9"/>
  <c r="I16" i="9" s="1"/>
  <c r="J9" i="9"/>
  <c r="J10" i="9" s="1"/>
  <c r="J11" i="9" s="1"/>
  <c r="J13" i="9" s="1"/>
  <c r="K5" i="9"/>
  <c r="P39" i="3"/>
  <c r="G11" i="3"/>
  <c r="AC7" i="7"/>
  <c r="AC6" i="7"/>
  <c r="L7" i="7"/>
  <c r="L6" i="7"/>
  <c r="AF7" i="7"/>
  <c r="AF6" i="7"/>
  <c r="AE7" i="7"/>
  <c r="AE6" i="7"/>
  <c r="AB7" i="7"/>
  <c r="AB6" i="7"/>
  <c r="AG7" i="7"/>
  <c r="AG6" i="7"/>
  <c r="AA7" i="7"/>
  <c r="AA6" i="7"/>
  <c r="Z7" i="7"/>
  <c r="Z6" i="7"/>
  <c r="AD7" i="7"/>
  <c r="AD6" i="7"/>
  <c r="AH7" i="7"/>
  <c r="AH6" i="7"/>
  <c r="M5" i="7"/>
  <c r="C15" i="17" l="1"/>
  <c r="B35" i="17"/>
  <c r="B28" i="3"/>
  <c r="B34" i="3" s="1"/>
  <c r="B30" i="15"/>
  <c r="B31" i="15" s="1"/>
  <c r="B5" i="10"/>
  <c r="B11" i="10"/>
  <c r="B12" i="10" s="1"/>
  <c r="C9" i="10" s="1"/>
  <c r="L2" i="10"/>
  <c r="C12" i="14"/>
  <c r="B36" i="14"/>
  <c r="B31" i="3"/>
  <c r="C12" i="3" s="1"/>
  <c r="C16" i="3" s="1"/>
  <c r="C18" i="3" s="1"/>
  <c r="C19" i="3" s="1"/>
  <c r="C21" i="3" s="1"/>
  <c r="C23" i="3" s="1"/>
  <c r="C24" i="3" s="1"/>
  <c r="B27" i="3"/>
  <c r="B39" i="17" s="1"/>
  <c r="K8" i="12"/>
  <c r="K6" i="12"/>
  <c r="L4" i="12"/>
  <c r="J29" i="12"/>
  <c r="J30" i="12" s="1"/>
  <c r="L19" i="12"/>
  <c r="K23" i="12"/>
  <c r="K24" i="12" s="1"/>
  <c r="K25" i="12" s="1"/>
  <c r="K27" i="12" s="1"/>
  <c r="I13" i="12"/>
  <c r="I14" i="12" s="1"/>
  <c r="J7" i="12"/>
  <c r="J9" i="12" s="1"/>
  <c r="J10" i="12" s="1"/>
  <c r="J11" i="12" s="1"/>
  <c r="I13" i="11"/>
  <c r="I14" i="11" s="1"/>
  <c r="J7" i="11"/>
  <c r="J9" i="11" s="1"/>
  <c r="J10" i="11" s="1"/>
  <c r="J11" i="11" s="1"/>
  <c r="L4" i="11"/>
  <c r="K8" i="11"/>
  <c r="K6" i="11"/>
  <c r="J15" i="9"/>
  <c r="J16" i="9" s="1"/>
  <c r="L5" i="9"/>
  <c r="K9" i="9"/>
  <c r="K10" i="9" s="1"/>
  <c r="K11" i="9" s="1"/>
  <c r="K13" i="9" s="1"/>
  <c r="Q39" i="3"/>
  <c r="H11" i="3"/>
  <c r="AA8" i="7"/>
  <c r="AF8" i="7"/>
  <c r="AH8" i="7"/>
  <c r="AE8" i="7"/>
  <c r="Z8" i="7"/>
  <c r="AG8" i="7"/>
  <c r="M7" i="7"/>
  <c r="M6" i="7"/>
  <c r="L8" i="7"/>
  <c r="AD8" i="7"/>
  <c r="AB8" i="7"/>
  <c r="AC8" i="7"/>
  <c r="N5" i="7"/>
  <c r="C13" i="14" l="1"/>
  <c r="C16" i="14"/>
  <c r="C18" i="14" s="1"/>
  <c r="C19" i="14" s="1"/>
  <c r="C21" i="14" s="1"/>
  <c r="C23" i="14" s="1"/>
  <c r="C24" i="14" s="1"/>
  <c r="B34" i="15"/>
  <c r="B36" i="15"/>
  <c r="C12" i="15"/>
  <c r="M2" i="10"/>
  <c r="B37" i="14"/>
  <c r="B6" i="10"/>
  <c r="C3" i="10" s="1"/>
  <c r="C13" i="3"/>
  <c r="B36" i="3"/>
  <c r="B37" i="3" s="1"/>
  <c r="J13" i="12"/>
  <c r="J14" i="12" s="1"/>
  <c r="K29" i="12"/>
  <c r="K30" i="12" s="1"/>
  <c r="L23" i="12"/>
  <c r="L24" i="12" s="1"/>
  <c r="L25" i="12" s="1"/>
  <c r="L27" i="12" s="1"/>
  <c r="M19" i="12"/>
  <c r="L8" i="12"/>
  <c r="L6" i="12"/>
  <c r="M4" i="12"/>
  <c r="K7" i="12"/>
  <c r="K9" i="12" s="1"/>
  <c r="K10" i="12" s="1"/>
  <c r="K11" i="12" s="1"/>
  <c r="J13" i="11"/>
  <c r="J14" i="11" s="1"/>
  <c r="K9" i="11"/>
  <c r="K10" i="11" s="1"/>
  <c r="K11" i="11" s="1"/>
  <c r="K7" i="11"/>
  <c r="L8" i="11"/>
  <c r="M4" i="11"/>
  <c r="L6" i="11"/>
  <c r="M5" i="9"/>
  <c r="L9" i="9"/>
  <c r="L10" i="9" s="1"/>
  <c r="L11" i="9" s="1"/>
  <c r="L13" i="9" s="1"/>
  <c r="K15" i="9"/>
  <c r="K16" i="9" s="1"/>
  <c r="R39" i="3"/>
  <c r="I11" i="3"/>
  <c r="N7" i="7"/>
  <c r="N6" i="7"/>
  <c r="L9" i="7"/>
  <c r="C9" i="13" s="1"/>
  <c r="M8" i="7"/>
  <c r="O5" i="7"/>
  <c r="C13" i="15" l="1"/>
  <c r="C16" i="15"/>
  <c r="C18" i="15" s="1"/>
  <c r="C19" i="15" s="1"/>
  <c r="C21" i="15" s="1"/>
  <c r="C23" i="15" s="1"/>
  <c r="C24" i="15" s="1"/>
  <c r="C26" i="15" s="1"/>
  <c r="C28" i="15" s="1"/>
  <c r="B37" i="15"/>
  <c r="N2" i="10"/>
  <c r="C26" i="3"/>
  <c r="D14" i="17" s="1"/>
  <c r="D15" i="17" s="1"/>
  <c r="C26" i="14"/>
  <c r="C28" i="14" s="1"/>
  <c r="B40" i="14"/>
  <c r="B41" i="14"/>
  <c r="B41" i="3"/>
  <c r="B40" i="3"/>
  <c r="C31" i="3"/>
  <c r="D12" i="3" s="1"/>
  <c r="D16" i="3" s="1"/>
  <c r="D18" i="3" s="1"/>
  <c r="D19" i="3" s="1"/>
  <c r="D21" i="3" s="1"/>
  <c r="D23" i="3" s="1"/>
  <c r="D24" i="3" s="1"/>
  <c r="L7" i="12"/>
  <c r="L9" i="12" s="1"/>
  <c r="L10" i="12" s="1"/>
  <c r="L11" i="12" s="1"/>
  <c r="M23" i="12"/>
  <c r="M24" i="12" s="1"/>
  <c r="M25" i="12" s="1"/>
  <c r="M27" i="12" s="1"/>
  <c r="N19" i="12"/>
  <c r="N23" i="12" s="1"/>
  <c r="N24" i="12" s="1"/>
  <c r="N25" i="12" s="1"/>
  <c r="N27" i="12" s="1"/>
  <c r="L29" i="12"/>
  <c r="L30" i="12" s="1"/>
  <c r="K13" i="12"/>
  <c r="K14" i="12" s="1"/>
  <c r="M6" i="12"/>
  <c r="M8" i="12"/>
  <c r="N4" i="12"/>
  <c r="K13" i="11"/>
  <c r="K14" i="11" s="1"/>
  <c r="L7" i="11"/>
  <c r="L9" i="11" s="1"/>
  <c r="L10" i="11" s="1"/>
  <c r="L11" i="11" s="1"/>
  <c r="M8" i="11"/>
  <c r="M6" i="11"/>
  <c r="N4" i="11"/>
  <c r="N5" i="9"/>
  <c r="N9" i="9" s="1"/>
  <c r="N10" i="9" s="1"/>
  <c r="M9" i="9"/>
  <c r="M10" i="9" s="1"/>
  <c r="M11" i="9" s="1"/>
  <c r="M13" i="9" s="1"/>
  <c r="L15" i="9"/>
  <c r="L16" i="9" s="1"/>
  <c r="S39" i="3"/>
  <c r="J11" i="3"/>
  <c r="O7" i="7"/>
  <c r="O6" i="7"/>
  <c r="N8" i="7"/>
  <c r="N9" i="7" s="1"/>
  <c r="E9" i="13" s="1"/>
  <c r="M9" i="7"/>
  <c r="D9" i="13" s="1"/>
  <c r="P5" i="7"/>
  <c r="C27" i="15" l="1"/>
  <c r="C30" i="15"/>
  <c r="C31" i="15" s="1"/>
  <c r="D12" i="15" s="1"/>
  <c r="B40" i="15"/>
  <c r="B41" i="15"/>
  <c r="C27" i="3"/>
  <c r="C39" i="17" s="1"/>
  <c r="C28" i="3"/>
  <c r="B42" i="3"/>
  <c r="B44" i="3" s="1"/>
  <c r="B45" i="3" s="1"/>
  <c r="C27" i="14"/>
  <c r="C34" i="14" s="1"/>
  <c r="C4" i="10"/>
  <c r="O2" i="10"/>
  <c r="D26" i="3"/>
  <c r="E14" i="17" s="1"/>
  <c r="E15" i="17" s="1"/>
  <c r="B42" i="14"/>
  <c r="C30" i="14"/>
  <c r="C31" i="14" s="1"/>
  <c r="D13" i="3"/>
  <c r="C36" i="3"/>
  <c r="C37" i="3" s="1"/>
  <c r="L13" i="12"/>
  <c r="L14" i="12"/>
  <c r="N29" i="12"/>
  <c r="N30" i="12" s="1"/>
  <c r="N6" i="12"/>
  <c r="N8" i="12"/>
  <c r="M29" i="12"/>
  <c r="M30" i="12" s="1"/>
  <c r="M7" i="12"/>
  <c r="M9" i="12" s="1"/>
  <c r="M10" i="12" s="1"/>
  <c r="M11" i="12" s="1"/>
  <c r="L13" i="11"/>
  <c r="L14" i="11" s="1"/>
  <c r="N8" i="11"/>
  <c r="N6" i="11"/>
  <c r="M7" i="11"/>
  <c r="M9" i="11" s="1"/>
  <c r="M10" i="11" s="1"/>
  <c r="M11" i="11" s="1"/>
  <c r="M15" i="9"/>
  <c r="M16" i="9" s="1"/>
  <c r="N11" i="9"/>
  <c r="N13" i="9" s="1"/>
  <c r="T39" i="3"/>
  <c r="K11" i="3"/>
  <c r="P7" i="7"/>
  <c r="P6" i="7"/>
  <c r="O8" i="7"/>
  <c r="Q5" i="7"/>
  <c r="B44" i="14" l="1"/>
  <c r="B45" i="14" s="1"/>
  <c r="D13" i="15"/>
  <c r="D16" i="15"/>
  <c r="D18" i="15" s="1"/>
  <c r="D19" i="15" s="1"/>
  <c r="D21" i="15" s="1"/>
  <c r="D23" i="15" s="1"/>
  <c r="D24" i="15" s="1"/>
  <c r="D26" i="15" s="1"/>
  <c r="D30" i="15" s="1"/>
  <c r="D31" i="15" s="1"/>
  <c r="E12" i="15" s="1"/>
  <c r="C36" i="15"/>
  <c r="C37" i="15" s="1"/>
  <c r="C34" i="15"/>
  <c r="B42" i="15"/>
  <c r="B44" i="15" s="1"/>
  <c r="B45" i="15" s="1"/>
  <c r="D27" i="3"/>
  <c r="D28" i="3"/>
  <c r="C34" i="3"/>
  <c r="C10" i="10"/>
  <c r="C5" i="10"/>
  <c r="C6" i="10" s="1"/>
  <c r="D3" i="10" s="1"/>
  <c r="P2" i="10"/>
  <c r="D12" i="14"/>
  <c r="C36" i="14"/>
  <c r="C40" i="3"/>
  <c r="C41" i="3"/>
  <c r="D31" i="3"/>
  <c r="E12" i="3" s="1"/>
  <c r="E16" i="3" s="1"/>
  <c r="E18" i="3" s="1"/>
  <c r="E19" i="3" s="1"/>
  <c r="E21" i="3" s="1"/>
  <c r="E23" i="3" s="1"/>
  <c r="E24" i="3" s="1"/>
  <c r="E26" i="3" s="1"/>
  <c r="F14" i="17" s="1"/>
  <c r="F15" i="17" s="1"/>
  <c r="M13" i="12"/>
  <c r="M14" i="12"/>
  <c r="N7" i="12"/>
  <c r="N9" i="12" s="1"/>
  <c r="N10" i="12" s="1"/>
  <c r="N11" i="12" s="1"/>
  <c r="M13" i="11"/>
  <c r="M14" i="11"/>
  <c r="N7" i="11"/>
  <c r="N9" i="11" s="1"/>
  <c r="N10" i="11" s="1"/>
  <c r="N11" i="11" s="1"/>
  <c r="N15" i="9"/>
  <c r="N16" i="9" s="1"/>
  <c r="U39" i="3"/>
  <c r="V39" i="3" s="1"/>
  <c r="W39" i="3" s="1"/>
  <c r="X39" i="3" s="1"/>
  <c r="Y39" i="3" s="1"/>
  <c r="Z39" i="3" s="1"/>
  <c r="AA39" i="3" s="1"/>
  <c r="AB39" i="3" s="1"/>
  <c r="AC39" i="3" s="1"/>
  <c r="AD39" i="3" s="1"/>
  <c r="AE39" i="3" s="1"/>
  <c r="L11" i="3"/>
  <c r="R5" i="7"/>
  <c r="Q7" i="7"/>
  <c r="Q6" i="7"/>
  <c r="O9" i="7"/>
  <c r="F9" i="13" s="1"/>
  <c r="P8" i="7"/>
  <c r="P9" i="7" s="1"/>
  <c r="G9" i="13" s="1"/>
  <c r="D13" i="14" l="1"/>
  <c r="D16" i="14"/>
  <c r="D18" i="14" s="1"/>
  <c r="D19" i="14" s="1"/>
  <c r="D21" i="14" s="1"/>
  <c r="D23" i="14" s="1"/>
  <c r="D24" i="14" s="1"/>
  <c r="D26" i="14" s="1"/>
  <c r="E13" i="15"/>
  <c r="E16" i="15"/>
  <c r="E18" i="15" s="1"/>
  <c r="E19" i="15" s="1"/>
  <c r="E21" i="15" s="1"/>
  <c r="E23" i="15" s="1"/>
  <c r="E24" i="15" s="1"/>
  <c r="E26" i="15" s="1"/>
  <c r="E30" i="15" s="1"/>
  <c r="E31" i="15" s="1"/>
  <c r="D27" i="15"/>
  <c r="D28" i="15"/>
  <c r="E27" i="3"/>
  <c r="E39" i="17" s="1"/>
  <c r="D39" i="17"/>
  <c r="D36" i="15"/>
  <c r="D37" i="15" s="1"/>
  <c r="D34" i="15"/>
  <c r="C40" i="15"/>
  <c r="C41" i="15"/>
  <c r="E28" i="3"/>
  <c r="D34" i="3"/>
  <c r="C11" i="10"/>
  <c r="C12" i="10" s="1"/>
  <c r="D9" i="10" s="1"/>
  <c r="Q2" i="10"/>
  <c r="C37" i="14"/>
  <c r="C42" i="3"/>
  <c r="C44" i="3" s="1"/>
  <c r="C45" i="3" s="1"/>
  <c r="D36" i="3"/>
  <c r="D37" i="3" s="1"/>
  <c r="N13" i="12"/>
  <c r="N14" i="12" s="1"/>
  <c r="N13" i="11"/>
  <c r="N14" i="11"/>
  <c r="M11" i="3"/>
  <c r="R7" i="7"/>
  <c r="R6" i="7"/>
  <c r="S5" i="7"/>
  <c r="T5" i="7" s="1"/>
  <c r="Q8" i="7"/>
  <c r="E34" i="15" l="1"/>
  <c r="D28" i="14"/>
  <c r="D4" i="10"/>
  <c r="D30" i="14"/>
  <c r="D31" i="14" s="1"/>
  <c r="E12" i="14" s="1"/>
  <c r="D27" i="14"/>
  <c r="E28" i="15"/>
  <c r="E27" i="15"/>
  <c r="C42" i="15"/>
  <c r="C44" i="15" s="1"/>
  <c r="C45" i="15" s="1"/>
  <c r="E36" i="15"/>
  <c r="F12" i="15"/>
  <c r="D40" i="15"/>
  <c r="D41" i="15"/>
  <c r="E34" i="3"/>
  <c r="R2" i="10"/>
  <c r="C40" i="14"/>
  <c r="C41" i="14"/>
  <c r="D40" i="3"/>
  <c r="D41" i="3"/>
  <c r="E31" i="3"/>
  <c r="F12" i="3" s="1"/>
  <c r="F16" i="3" s="1"/>
  <c r="F18" i="3" s="1"/>
  <c r="F19" i="3" s="1"/>
  <c r="F21" i="3" s="1"/>
  <c r="F23" i="3" s="1"/>
  <c r="F24" i="3" s="1"/>
  <c r="F26" i="3" s="1"/>
  <c r="E13" i="3"/>
  <c r="N11" i="3"/>
  <c r="R8" i="7"/>
  <c r="R9" i="7" s="1"/>
  <c r="I9" i="13" s="1"/>
  <c r="T7" i="7"/>
  <c r="T6" i="7"/>
  <c r="S6" i="7"/>
  <c r="S7" i="7"/>
  <c r="Q9" i="7"/>
  <c r="H9" i="13" s="1"/>
  <c r="U5" i="7"/>
  <c r="D36" i="14" l="1"/>
  <c r="D37" i="14" s="1"/>
  <c r="D40" i="14" s="1"/>
  <c r="F28" i="3"/>
  <c r="F34" i="3" s="1"/>
  <c r="G14" i="17"/>
  <c r="G15" i="17" s="1"/>
  <c r="F27" i="3"/>
  <c r="F39" i="17" s="1"/>
  <c r="D34" i="14"/>
  <c r="E13" i="14"/>
  <c r="E16" i="14"/>
  <c r="E18" i="14" s="1"/>
  <c r="E19" i="14" s="1"/>
  <c r="E21" i="14" s="1"/>
  <c r="E23" i="14" s="1"/>
  <c r="E24" i="14" s="1"/>
  <c r="E26" i="14" s="1"/>
  <c r="E28" i="14" s="1"/>
  <c r="D10" i="10"/>
  <c r="D5" i="10"/>
  <c r="D6" i="10" s="1"/>
  <c r="E3" i="10" s="1"/>
  <c r="F13" i="15"/>
  <c r="F16" i="15"/>
  <c r="F18" i="15" s="1"/>
  <c r="F19" i="15" s="1"/>
  <c r="F21" i="15" s="1"/>
  <c r="F23" i="15" s="1"/>
  <c r="F24" i="15" s="1"/>
  <c r="F26" i="15" s="1"/>
  <c r="F28" i="15" s="1"/>
  <c r="D42" i="15"/>
  <c r="D44" i="15" s="1"/>
  <c r="D45" i="15" s="1"/>
  <c r="E37" i="15"/>
  <c r="S2" i="10"/>
  <c r="C42" i="14"/>
  <c r="C44" i="14" s="1"/>
  <c r="C45" i="14" s="1"/>
  <c r="E36" i="3"/>
  <c r="E37" i="3" s="1"/>
  <c r="D42" i="3"/>
  <c r="D44" i="3" s="1"/>
  <c r="D45" i="3" s="1"/>
  <c r="O11" i="3"/>
  <c r="S8" i="7"/>
  <c r="S9" i="7" s="1"/>
  <c r="J9" i="13" s="1"/>
  <c r="T8" i="7"/>
  <c r="T9" i="7" s="1"/>
  <c r="K9" i="13" s="1"/>
  <c r="U7" i="7"/>
  <c r="U6" i="7"/>
  <c r="V5" i="7"/>
  <c r="F34" i="15" l="1"/>
  <c r="D41" i="14"/>
  <c r="D42" i="14" s="1"/>
  <c r="D44" i="14" s="1"/>
  <c r="D45" i="14" s="1"/>
  <c r="D11" i="10"/>
  <c r="D12" i="10" s="1"/>
  <c r="E9" i="10" s="1"/>
  <c r="E4" i="10"/>
  <c r="E10" i="10" s="1"/>
  <c r="E30" i="14"/>
  <c r="E31" i="14" s="1"/>
  <c r="E27" i="14"/>
  <c r="E34" i="14" s="1"/>
  <c r="F27" i="15"/>
  <c r="F30" i="15"/>
  <c r="F31" i="15" s="1"/>
  <c r="F36" i="15" s="1"/>
  <c r="E40" i="15"/>
  <c r="E41" i="15"/>
  <c r="T2" i="10"/>
  <c r="E40" i="3"/>
  <c r="E41" i="3"/>
  <c r="F13" i="3"/>
  <c r="F31" i="3"/>
  <c r="G12" i="3" s="1"/>
  <c r="G16" i="3" s="1"/>
  <c r="G18" i="3" s="1"/>
  <c r="G19" i="3" s="1"/>
  <c r="G21" i="3" s="1"/>
  <c r="G23" i="3" s="1"/>
  <c r="G24" i="3" s="1"/>
  <c r="G26" i="3" s="1"/>
  <c r="H14" i="17" s="1"/>
  <c r="H15" i="17" s="1"/>
  <c r="P11" i="3"/>
  <c r="U8" i="7"/>
  <c r="U9" i="7" s="1"/>
  <c r="L9" i="13" s="1"/>
  <c r="V7" i="7"/>
  <c r="V6" i="7"/>
  <c r="W5" i="7"/>
  <c r="G28" i="3" l="1"/>
  <c r="G27" i="3"/>
  <c r="G12" i="15"/>
  <c r="G16" i="15" s="1"/>
  <c r="G18" i="15" s="1"/>
  <c r="G19" i="15" s="1"/>
  <c r="G21" i="15" s="1"/>
  <c r="G23" i="15" s="1"/>
  <c r="G24" i="15" s="1"/>
  <c r="G26" i="15" s="1"/>
  <c r="G30" i="15" s="1"/>
  <c r="G31" i="15" s="1"/>
  <c r="E11" i="10"/>
  <c r="E12" i="10" s="1"/>
  <c r="F9" i="10" s="1"/>
  <c r="F12" i="14"/>
  <c r="E36" i="14"/>
  <c r="E37" i="14" s="1"/>
  <c r="E5" i="10"/>
  <c r="E6" i="10" s="1"/>
  <c r="F3" i="10" s="1"/>
  <c r="E42" i="15"/>
  <c r="E44" i="15" s="1"/>
  <c r="E45" i="15" s="1"/>
  <c r="F37" i="15"/>
  <c r="U2" i="10"/>
  <c r="F36" i="3"/>
  <c r="F37" i="3" s="1"/>
  <c r="E42" i="3"/>
  <c r="E44" i="3" s="1"/>
  <c r="E45" i="3" s="1"/>
  <c r="Q11" i="3"/>
  <c r="V8" i="7"/>
  <c r="V9" i="7" s="1"/>
  <c r="M9" i="13" s="1"/>
  <c r="W7" i="7"/>
  <c r="W6" i="7"/>
  <c r="X5" i="7"/>
  <c r="G39" i="17" l="1"/>
  <c r="G34" i="15"/>
  <c r="G34" i="3"/>
  <c r="G13" i="15"/>
  <c r="G27" i="15"/>
  <c r="G28" i="15"/>
  <c r="E41" i="14"/>
  <c r="E40" i="14"/>
  <c r="F13" i="14"/>
  <c r="F16" i="14"/>
  <c r="F18" i="14" s="1"/>
  <c r="F19" i="14" s="1"/>
  <c r="F21" i="14" s="1"/>
  <c r="F23" i="14" s="1"/>
  <c r="F24" i="14" s="1"/>
  <c r="F26" i="14" s="1"/>
  <c r="H12" i="15"/>
  <c r="H16" i="15" s="1"/>
  <c r="H18" i="15" s="1"/>
  <c r="H19" i="15" s="1"/>
  <c r="H21" i="15" s="1"/>
  <c r="H23" i="15" s="1"/>
  <c r="H24" i="15" s="1"/>
  <c r="H26" i="15" s="1"/>
  <c r="G36" i="15"/>
  <c r="F40" i="15"/>
  <c r="F41" i="15"/>
  <c r="V2" i="10"/>
  <c r="F40" i="3"/>
  <c r="F41" i="3"/>
  <c r="G31" i="3"/>
  <c r="H12" i="3" s="1"/>
  <c r="H16" i="3" s="1"/>
  <c r="H18" i="3" s="1"/>
  <c r="H19" i="3" s="1"/>
  <c r="H21" i="3" s="1"/>
  <c r="H23" i="3" s="1"/>
  <c r="H24" i="3" s="1"/>
  <c r="H26" i="3" s="1"/>
  <c r="G13" i="3"/>
  <c r="R11" i="3"/>
  <c r="W8" i="7"/>
  <c r="W9" i="7" s="1"/>
  <c r="N9" i="13" s="1"/>
  <c r="X7" i="7"/>
  <c r="X6" i="7"/>
  <c r="Y5" i="7"/>
  <c r="E42" i="14" l="1"/>
  <c r="E44" i="14" s="1"/>
  <c r="E45" i="14" s="1"/>
  <c r="H27" i="3"/>
  <c r="H34" i="15" s="1"/>
  <c r="I14" i="17"/>
  <c r="I15" i="17" s="1"/>
  <c r="H28" i="3"/>
  <c r="F28" i="14"/>
  <c r="F30" i="14"/>
  <c r="F31" i="14" s="1"/>
  <c r="F4" i="10"/>
  <c r="F27" i="14"/>
  <c r="H27" i="15"/>
  <c r="H30" i="15"/>
  <c r="H31" i="15" s="1"/>
  <c r="H28" i="15"/>
  <c r="F42" i="15"/>
  <c r="F44" i="15" s="1"/>
  <c r="F45" i="15" s="1"/>
  <c r="G37" i="15"/>
  <c r="H13" i="15"/>
  <c r="W2" i="10"/>
  <c r="F42" i="3"/>
  <c r="F44" i="3" s="1"/>
  <c r="F45" i="3" s="1"/>
  <c r="G36" i="3"/>
  <c r="G37" i="3" s="1"/>
  <c r="S11" i="3"/>
  <c r="X8" i="7"/>
  <c r="X9" i="7" s="1"/>
  <c r="O9" i="13" s="1"/>
  <c r="Y7" i="7"/>
  <c r="L14" i="7" s="1"/>
  <c r="Y6" i="7"/>
  <c r="H39" i="17" l="1"/>
  <c r="H34" i="3"/>
  <c r="F34" i="14"/>
  <c r="F10" i="10"/>
  <c r="F5" i="10"/>
  <c r="F6" i="10" s="1"/>
  <c r="G3" i="10" s="1"/>
  <c r="G12" i="14"/>
  <c r="F36" i="14"/>
  <c r="F37" i="14" s="1"/>
  <c r="I12" i="15"/>
  <c r="I16" i="15" s="1"/>
  <c r="I18" i="15" s="1"/>
  <c r="I19" i="15" s="1"/>
  <c r="I21" i="15" s="1"/>
  <c r="I23" i="15" s="1"/>
  <c r="I24" i="15" s="1"/>
  <c r="I26" i="15" s="1"/>
  <c r="H36" i="15"/>
  <c r="G40" i="15"/>
  <c r="G41" i="15"/>
  <c r="X2" i="10"/>
  <c r="G40" i="3"/>
  <c r="G41" i="3"/>
  <c r="H13" i="3"/>
  <c r="H31" i="3"/>
  <c r="I12" i="3" s="1"/>
  <c r="I16" i="3" s="1"/>
  <c r="I18" i="3" s="1"/>
  <c r="I19" i="3" s="1"/>
  <c r="I21" i="3" s="1"/>
  <c r="I23" i="3" s="1"/>
  <c r="I24" i="3" s="1"/>
  <c r="I26" i="3" s="1"/>
  <c r="T11" i="3"/>
  <c r="Y8" i="7"/>
  <c r="L13" i="7"/>
  <c r="L15" i="7" s="1"/>
  <c r="I27" i="3" l="1"/>
  <c r="I39" i="17" s="1"/>
  <c r="J14" i="17"/>
  <c r="J15" i="17" s="1"/>
  <c r="I28" i="3"/>
  <c r="F40" i="14"/>
  <c r="F41" i="14"/>
  <c r="G13" i="14"/>
  <c r="G16" i="14"/>
  <c r="G18" i="14" s="1"/>
  <c r="G19" i="14" s="1"/>
  <c r="G21" i="14" s="1"/>
  <c r="G23" i="14" s="1"/>
  <c r="G24" i="14" s="1"/>
  <c r="G26" i="14" s="1"/>
  <c r="F11" i="10"/>
  <c r="F12" i="10" s="1"/>
  <c r="G9" i="10" s="1"/>
  <c r="I27" i="15"/>
  <c r="I30" i="15"/>
  <c r="I31" i="15" s="1"/>
  <c r="I28" i="15"/>
  <c r="G42" i="15"/>
  <c r="G44" i="15" s="1"/>
  <c r="G45" i="15" s="1"/>
  <c r="H37" i="15"/>
  <c r="I13" i="15"/>
  <c r="Y2" i="10"/>
  <c r="G42" i="3"/>
  <c r="G44" i="3" s="1"/>
  <c r="G45" i="3" s="1"/>
  <c r="H36" i="3"/>
  <c r="H37" i="3" s="1"/>
  <c r="U11" i="3"/>
  <c r="M14" i="7"/>
  <c r="N14" i="7"/>
  <c r="L3" i="7"/>
  <c r="K2" i="7"/>
  <c r="Y9" i="7"/>
  <c r="P9" i="13" s="1"/>
  <c r="I34" i="15" l="1"/>
  <c r="I34" i="3"/>
  <c r="G4" i="10"/>
  <c r="G30" i="14"/>
  <c r="G31" i="14" s="1"/>
  <c r="G27" i="14"/>
  <c r="G34" i="14" s="1"/>
  <c r="G28" i="14"/>
  <c r="F42" i="14"/>
  <c r="F44" i="14" s="1"/>
  <c r="F45" i="14" s="1"/>
  <c r="H41" i="15"/>
  <c r="H40" i="15"/>
  <c r="J12" i="15"/>
  <c r="J16" i="15" s="1"/>
  <c r="J18" i="15" s="1"/>
  <c r="J19" i="15" s="1"/>
  <c r="J21" i="15" s="1"/>
  <c r="J23" i="15" s="1"/>
  <c r="J24" i="15" s="1"/>
  <c r="J26" i="15" s="1"/>
  <c r="I36" i="15"/>
  <c r="Z2" i="10"/>
  <c r="I13" i="3"/>
  <c r="I31" i="3"/>
  <c r="J12" i="3" s="1"/>
  <c r="J16" i="3" s="1"/>
  <c r="J18" i="3" s="1"/>
  <c r="J19" i="3" s="1"/>
  <c r="J21" i="3" s="1"/>
  <c r="J23" i="3" s="1"/>
  <c r="J24" i="3" s="1"/>
  <c r="J26" i="3" s="1"/>
  <c r="H41" i="3"/>
  <c r="H40" i="3"/>
  <c r="V11" i="3"/>
  <c r="J27" i="3" l="1"/>
  <c r="J39" i="17" s="1"/>
  <c r="K14" i="17"/>
  <c r="K15" i="17" s="1"/>
  <c r="J28" i="3"/>
  <c r="G10" i="10"/>
  <c r="G5" i="10"/>
  <c r="G6" i="10" s="1"/>
  <c r="H3" i="10" s="1"/>
  <c r="H12" i="14"/>
  <c r="G36" i="14"/>
  <c r="G37" i="14" s="1"/>
  <c r="J27" i="15"/>
  <c r="J30" i="15"/>
  <c r="J31" i="15" s="1"/>
  <c r="J28" i="15"/>
  <c r="J13" i="15"/>
  <c r="I37" i="15"/>
  <c r="H42" i="15"/>
  <c r="H44" i="15" s="1"/>
  <c r="H45" i="15" s="1"/>
  <c r="AA2" i="10"/>
  <c r="I36" i="3"/>
  <c r="I37" i="3" s="1"/>
  <c r="H42" i="3"/>
  <c r="H44" i="3" s="1"/>
  <c r="H45" i="3" s="1"/>
  <c r="W11" i="3"/>
  <c r="J34" i="15" l="1"/>
  <c r="J34" i="3"/>
  <c r="G41" i="14"/>
  <c r="G40" i="14"/>
  <c r="H13" i="14"/>
  <c r="H16" i="14"/>
  <c r="H18" i="14" s="1"/>
  <c r="H19" i="14" s="1"/>
  <c r="H21" i="14" s="1"/>
  <c r="H23" i="14" s="1"/>
  <c r="H24" i="14" s="1"/>
  <c r="H26" i="14" s="1"/>
  <c r="G11" i="10"/>
  <c r="G12" i="10" s="1"/>
  <c r="H9" i="10" s="1"/>
  <c r="I41" i="15"/>
  <c r="I40" i="15"/>
  <c r="K12" i="15"/>
  <c r="K16" i="15" s="1"/>
  <c r="K18" i="15" s="1"/>
  <c r="K19" i="15" s="1"/>
  <c r="K21" i="15" s="1"/>
  <c r="K23" i="15" s="1"/>
  <c r="K24" i="15" s="1"/>
  <c r="K26" i="15" s="1"/>
  <c r="J36" i="15"/>
  <c r="AB2" i="10"/>
  <c r="I40" i="3"/>
  <c r="I41" i="3"/>
  <c r="J13" i="3"/>
  <c r="J31" i="3"/>
  <c r="K12" i="3" s="1"/>
  <c r="K16" i="3" s="1"/>
  <c r="K18" i="3" s="1"/>
  <c r="K19" i="3" s="1"/>
  <c r="K21" i="3" s="1"/>
  <c r="K23" i="3" s="1"/>
  <c r="K24" i="3" s="1"/>
  <c r="K26" i="3" s="1"/>
  <c r="X11" i="3"/>
  <c r="K27" i="3" l="1"/>
  <c r="K39" i="17" s="1"/>
  <c r="L14" i="17"/>
  <c r="L15" i="17" s="1"/>
  <c r="K30" i="15"/>
  <c r="K31" i="15" s="1"/>
  <c r="K28" i="3"/>
  <c r="H28" i="14"/>
  <c r="H4" i="10"/>
  <c r="H30" i="14"/>
  <c r="H31" i="14" s="1"/>
  <c r="H27" i="14"/>
  <c r="H34" i="14" s="1"/>
  <c r="G42" i="14"/>
  <c r="G44" i="14" s="1"/>
  <c r="G45" i="14" s="1"/>
  <c r="K27" i="15"/>
  <c r="K28" i="15"/>
  <c r="I42" i="15"/>
  <c r="I44" i="15" s="1"/>
  <c r="I45" i="15" s="1"/>
  <c r="J37" i="15"/>
  <c r="K13" i="15"/>
  <c r="AC2" i="10"/>
  <c r="J36" i="3"/>
  <c r="J37" i="3" s="1"/>
  <c r="I42" i="3"/>
  <c r="I44" i="3" s="1"/>
  <c r="I45" i="3" s="1"/>
  <c r="Y11" i="3"/>
  <c r="K34" i="15" l="1"/>
  <c r="K34" i="3"/>
  <c r="H10" i="10"/>
  <c r="H5" i="10"/>
  <c r="H6" i="10" s="1"/>
  <c r="I3" i="10" s="1"/>
  <c r="H36" i="14"/>
  <c r="H37" i="14" s="1"/>
  <c r="I12" i="14"/>
  <c r="K36" i="15"/>
  <c r="L12" i="15"/>
  <c r="L16" i="15" s="1"/>
  <c r="L18" i="15" s="1"/>
  <c r="L19" i="15" s="1"/>
  <c r="L21" i="15" s="1"/>
  <c r="L23" i="15" s="1"/>
  <c r="L24" i="15" s="1"/>
  <c r="L26" i="15" s="1"/>
  <c r="J41" i="15"/>
  <c r="J40" i="15"/>
  <c r="AD2" i="10"/>
  <c r="J40" i="3"/>
  <c r="J41" i="3"/>
  <c r="K31" i="3"/>
  <c r="L12" i="3" s="1"/>
  <c r="L16" i="3" s="1"/>
  <c r="L18" i="3" s="1"/>
  <c r="L19" i="3" s="1"/>
  <c r="L21" i="3" s="1"/>
  <c r="L23" i="3" s="1"/>
  <c r="L24" i="3" s="1"/>
  <c r="L26" i="3" s="1"/>
  <c r="K13" i="3"/>
  <c r="Z11" i="3"/>
  <c r="L27" i="3" l="1"/>
  <c r="L39" i="17" s="1"/>
  <c r="M14" i="17"/>
  <c r="M15" i="17" s="1"/>
  <c r="L28" i="3"/>
  <c r="H40" i="14"/>
  <c r="H41" i="14"/>
  <c r="I16" i="14"/>
  <c r="I18" i="14" s="1"/>
  <c r="I19" i="14" s="1"/>
  <c r="I21" i="14" s="1"/>
  <c r="I23" i="14" s="1"/>
  <c r="I24" i="14" s="1"/>
  <c r="I26" i="14" s="1"/>
  <c r="I13" i="14"/>
  <c r="H11" i="10"/>
  <c r="H12" i="10" s="1"/>
  <c r="I9" i="10" s="1"/>
  <c r="L27" i="15"/>
  <c r="L30" i="15"/>
  <c r="L31" i="15" s="1"/>
  <c r="L28" i="15"/>
  <c r="J42" i="15"/>
  <c r="J44" i="15" s="1"/>
  <c r="J45" i="15" s="1"/>
  <c r="L13" i="15"/>
  <c r="K37" i="15"/>
  <c r="AE2" i="10"/>
  <c r="K36" i="3"/>
  <c r="K37" i="3" s="1"/>
  <c r="J42" i="3"/>
  <c r="J44" i="3" s="1"/>
  <c r="J45" i="3" s="1"/>
  <c r="AA11" i="3"/>
  <c r="L34" i="15" l="1"/>
  <c r="L34" i="3"/>
  <c r="H42" i="14"/>
  <c r="H44" i="14" s="1"/>
  <c r="H45" i="14" s="1"/>
  <c r="I4" i="10"/>
  <c r="I30" i="14"/>
  <c r="I31" i="14" s="1"/>
  <c r="I27" i="14"/>
  <c r="I34" i="14" s="1"/>
  <c r="I28" i="14"/>
  <c r="K40" i="15"/>
  <c r="K41" i="15"/>
  <c r="L36" i="15"/>
  <c r="M12" i="15"/>
  <c r="M16" i="15" s="1"/>
  <c r="M18" i="15" s="1"/>
  <c r="M19" i="15" s="1"/>
  <c r="M21" i="15" s="1"/>
  <c r="M23" i="15" s="1"/>
  <c r="M24" i="15" s="1"/>
  <c r="M26" i="15" s="1"/>
  <c r="M28" i="15" s="1"/>
  <c r="L31" i="3"/>
  <c r="M12" i="3" s="1"/>
  <c r="M16" i="3" s="1"/>
  <c r="M18" i="3" s="1"/>
  <c r="M19" i="3" s="1"/>
  <c r="M21" i="3" s="1"/>
  <c r="M23" i="3" s="1"/>
  <c r="M24" i="3" s="1"/>
  <c r="M26" i="3" s="1"/>
  <c r="L13" i="3"/>
  <c r="K41" i="3"/>
  <c r="K40" i="3"/>
  <c r="AB11" i="3"/>
  <c r="M27" i="3" l="1"/>
  <c r="M39" i="17" s="1"/>
  <c r="N14" i="17"/>
  <c r="N15" i="17" s="1"/>
  <c r="M28" i="3"/>
  <c r="J12" i="14"/>
  <c r="I36" i="14"/>
  <c r="I37" i="14" s="1"/>
  <c r="I10" i="10"/>
  <c r="I5" i="10"/>
  <c r="I6" i="10" s="1"/>
  <c r="J3" i="10" s="1"/>
  <c r="M27" i="15"/>
  <c r="M30" i="15"/>
  <c r="M31" i="15" s="1"/>
  <c r="M13" i="15"/>
  <c r="L37" i="15"/>
  <c r="K42" i="15"/>
  <c r="K44" i="15" s="1"/>
  <c r="K45" i="15" s="1"/>
  <c r="K42" i="3"/>
  <c r="K44" i="3" s="1"/>
  <c r="K45" i="3" s="1"/>
  <c r="L36" i="3"/>
  <c r="L37" i="3" s="1"/>
  <c r="AC11" i="3"/>
  <c r="M34" i="15" l="1"/>
  <c r="M34" i="3"/>
  <c r="I11" i="10"/>
  <c r="I12" i="10" s="1"/>
  <c r="J9" i="10" s="1"/>
  <c r="I40" i="14"/>
  <c r="I41" i="14"/>
  <c r="J16" i="14"/>
  <c r="J18" i="14" s="1"/>
  <c r="J19" i="14" s="1"/>
  <c r="J21" i="14" s="1"/>
  <c r="J23" i="14" s="1"/>
  <c r="J24" i="14" s="1"/>
  <c r="J26" i="14" s="1"/>
  <c r="J13" i="14"/>
  <c r="L41" i="15"/>
  <c r="L40" i="15"/>
  <c r="M36" i="15"/>
  <c r="N12" i="15"/>
  <c r="N16" i="15" s="1"/>
  <c r="N18" i="15" s="1"/>
  <c r="N19" i="15" s="1"/>
  <c r="N21" i="15" s="1"/>
  <c r="N23" i="15" s="1"/>
  <c r="N24" i="15" s="1"/>
  <c r="N26" i="15" s="1"/>
  <c r="L41" i="3"/>
  <c r="L40" i="3"/>
  <c r="M13" i="3"/>
  <c r="M31" i="3"/>
  <c r="N12" i="3" s="1"/>
  <c r="N16" i="3" s="1"/>
  <c r="N18" i="3" s="1"/>
  <c r="N19" i="3" s="1"/>
  <c r="N21" i="3" s="1"/>
  <c r="N23" i="3" s="1"/>
  <c r="N24" i="3" s="1"/>
  <c r="N26" i="3" s="1"/>
  <c r="AD11" i="3"/>
  <c r="N27" i="3" l="1"/>
  <c r="N39" i="17" s="1"/>
  <c r="O14" i="17"/>
  <c r="O15" i="17" s="1"/>
  <c r="N28" i="3"/>
  <c r="J4" i="10"/>
  <c r="J30" i="14"/>
  <c r="J31" i="14" s="1"/>
  <c r="J27" i="14"/>
  <c r="J34" i="14" s="1"/>
  <c r="J28" i="14"/>
  <c r="I42" i="14"/>
  <c r="I44" i="14" s="1"/>
  <c r="I45" i="14" s="1"/>
  <c r="N27" i="15"/>
  <c r="N30" i="15"/>
  <c r="N31" i="15" s="1"/>
  <c r="N28" i="15"/>
  <c r="L42" i="15"/>
  <c r="L44" i="15" s="1"/>
  <c r="L45" i="15" s="1"/>
  <c r="N13" i="15"/>
  <c r="M37" i="15"/>
  <c r="L42" i="3"/>
  <c r="L44" i="3" s="1"/>
  <c r="L45" i="3" s="1"/>
  <c r="M36" i="3"/>
  <c r="M37" i="3" s="1"/>
  <c r="AE11" i="3"/>
  <c r="N34" i="15" l="1"/>
  <c r="N34" i="3"/>
  <c r="J10" i="10"/>
  <c r="J5" i="10"/>
  <c r="J6" i="10" s="1"/>
  <c r="K3" i="10" s="1"/>
  <c r="K12" i="14"/>
  <c r="J36" i="14"/>
  <c r="J37" i="14" s="1"/>
  <c r="M40" i="15"/>
  <c r="M41" i="15"/>
  <c r="O12" i="15"/>
  <c r="O16" i="15" s="1"/>
  <c r="O18" i="15" s="1"/>
  <c r="O19" i="15" s="1"/>
  <c r="O21" i="15" s="1"/>
  <c r="O23" i="15" s="1"/>
  <c r="O24" i="15" s="1"/>
  <c r="O26" i="15" s="1"/>
  <c r="N36" i="15"/>
  <c r="M40" i="3"/>
  <c r="M41" i="3"/>
  <c r="N13" i="3"/>
  <c r="N31" i="3"/>
  <c r="O12" i="3" s="1"/>
  <c r="O16" i="3" s="1"/>
  <c r="O18" i="3" s="1"/>
  <c r="O19" i="3" s="1"/>
  <c r="O21" i="3" s="1"/>
  <c r="O23" i="3" s="1"/>
  <c r="O24" i="3" s="1"/>
  <c r="O26" i="3" s="1"/>
  <c r="O27" i="3" l="1"/>
  <c r="O39" i="17" s="1"/>
  <c r="P14" i="17"/>
  <c r="P15" i="17" s="1"/>
  <c r="O28" i="3"/>
  <c r="K16" i="14"/>
  <c r="K18" i="14" s="1"/>
  <c r="K19" i="14" s="1"/>
  <c r="K21" i="14" s="1"/>
  <c r="K23" i="14" s="1"/>
  <c r="K24" i="14" s="1"/>
  <c r="K26" i="14" s="1"/>
  <c r="K13" i="14"/>
  <c r="J40" i="14"/>
  <c r="J41" i="14"/>
  <c r="J11" i="10"/>
  <c r="J12" i="10" s="1"/>
  <c r="K9" i="10" s="1"/>
  <c r="O27" i="15"/>
  <c r="O30" i="15"/>
  <c r="O31" i="15" s="1"/>
  <c r="O28" i="15"/>
  <c r="N37" i="15"/>
  <c r="O13" i="15"/>
  <c r="M42" i="15"/>
  <c r="M44" i="15" s="1"/>
  <c r="M45" i="15" s="1"/>
  <c r="N36" i="3"/>
  <c r="N37" i="3" s="1"/>
  <c r="M42" i="3"/>
  <c r="M44" i="3" s="1"/>
  <c r="M45" i="3" s="1"/>
  <c r="O34" i="15" l="1"/>
  <c r="O34" i="3"/>
  <c r="K4" i="10"/>
  <c r="K30" i="14"/>
  <c r="K31" i="14" s="1"/>
  <c r="K27" i="14"/>
  <c r="K28" i="14"/>
  <c r="J42" i="14"/>
  <c r="J44" i="14" s="1"/>
  <c r="J45" i="14" s="1"/>
  <c r="P12" i="15"/>
  <c r="P16" i="15" s="1"/>
  <c r="P18" i="15" s="1"/>
  <c r="P19" i="15" s="1"/>
  <c r="P21" i="15" s="1"/>
  <c r="P23" i="15" s="1"/>
  <c r="P24" i="15" s="1"/>
  <c r="P26" i="15" s="1"/>
  <c r="O36" i="15"/>
  <c r="N40" i="15"/>
  <c r="N41" i="15"/>
  <c r="N41" i="3"/>
  <c r="N40" i="3"/>
  <c r="O13" i="3"/>
  <c r="O31" i="3"/>
  <c r="P12" i="3" s="1"/>
  <c r="P16" i="3" s="1"/>
  <c r="P18" i="3" s="1"/>
  <c r="P19" i="3" s="1"/>
  <c r="P21" i="3" s="1"/>
  <c r="P23" i="3" s="1"/>
  <c r="P24" i="3" s="1"/>
  <c r="P26" i="3" s="1"/>
  <c r="P27" i="3" l="1"/>
  <c r="P34" i="15" s="1"/>
  <c r="Q14" i="17"/>
  <c r="Q15" i="17" s="1"/>
  <c r="P28" i="3"/>
  <c r="L12" i="14"/>
  <c r="K36" i="14"/>
  <c r="K37" i="14" s="1"/>
  <c r="K10" i="10"/>
  <c r="K5" i="10"/>
  <c r="K6" i="10" s="1"/>
  <c r="L3" i="10" s="1"/>
  <c r="K34" i="14"/>
  <c r="P27" i="15"/>
  <c r="P30" i="15"/>
  <c r="P31" i="15" s="1"/>
  <c r="P28" i="15"/>
  <c r="N42" i="15"/>
  <c r="N44" i="15" s="1"/>
  <c r="N45" i="15" s="1"/>
  <c r="O37" i="15"/>
  <c r="P13" i="15"/>
  <c r="N42" i="3"/>
  <c r="N44" i="3" s="1"/>
  <c r="N45" i="3" s="1"/>
  <c r="O36" i="3"/>
  <c r="O37" i="3" s="1"/>
  <c r="P39" i="17" l="1"/>
  <c r="P34" i="3"/>
  <c r="K11" i="10"/>
  <c r="K12" i="10" s="1"/>
  <c r="L9" i="10" s="1"/>
  <c r="K41" i="14"/>
  <c r="K40" i="14"/>
  <c r="L16" i="14"/>
  <c r="L18" i="14" s="1"/>
  <c r="L19" i="14" s="1"/>
  <c r="L21" i="14" s="1"/>
  <c r="L23" i="14" s="1"/>
  <c r="L24" i="14" s="1"/>
  <c r="L26" i="14" s="1"/>
  <c r="L13" i="14"/>
  <c r="O41" i="15"/>
  <c r="O40" i="15"/>
  <c r="Q12" i="15"/>
  <c r="Q16" i="15" s="1"/>
  <c r="Q18" i="15" s="1"/>
  <c r="Q19" i="15" s="1"/>
  <c r="Q21" i="15" s="1"/>
  <c r="Q23" i="15" s="1"/>
  <c r="Q24" i="15" s="1"/>
  <c r="Q26" i="15" s="1"/>
  <c r="P36" i="15"/>
  <c r="O40" i="3"/>
  <c r="O41" i="3"/>
  <c r="P13" i="3"/>
  <c r="P31" i="3"/>
  <c r="Q12" i="3" s="1"/>
  <c r="Q16" i="3" s="1"/>
  <c r="Q18" i="3" s="1"/>
  <c r="Q19" i="3" s="1"/>
  <c r="Q21" i="3" s="1"/>
  <c r="Q23" i="3" s="1"/>
  <c r="Q24" i="3" s="1"/>
  <c r="Q26" i="3" s="1"/>
  <c r="K42" i="14" l="1"/>
  <c r="K44" i="14" s="1"/>
  <c r="K45" i="14" s="1"/>
  <c r="Q27" i="3"/>
  <c r="Q39" i="17" s="1"/>
  <c r="R14" i="17"/>
  <c r="R15" i="17" s="1"/>
  <c r="Q30" i="15"/>
  <c r="Q31" i="15" s="1"/>
  <c r="Q28" i="3"/>
  <c r="Q27" i="15"/>
  <c r="L4" i="10"/>
  <c r="L30" i="14"/>
  <c r="L31" i="14" s="1"/>
  <c r="L28" i="14"/>
  <c r="L27" i="14"/>
  <c r="Q28" i="15"/>
  <c r="O42" i="15"/>
  <c r="O44" i="15" s="1"/>
  <c r="O45" i="15" s="1"/>
  <c r="P37" i="15"/>
  <c r="Q13" i="15"/>
  <c r="O42" i="3"/>
  <c r="O44" i="3" s="1"/>
  <c r="O45" i="3" s="1"/>
  <c r="P36" i="3"/>
  <c r="P37" i="3" s="1"/>
  <c r="Q34" i="15" l="1"/>
  <c r="Q34" i="3"/>
  <c r="L34" i="14"/>
  <c r="M12" i="14"/>
  <c r="L36" i="14"/>
  <c r="L37" i="14" s="1"/>
  <c r="L10" i="10"/>
  <c r="L5" i="10"/>
  <c r="L6" i="10" s="1"/>
  <c r="M3" i="10" s="1"/>
  <c r="Q36" i="15"/>
  <c r="R12" i="15"/>
  <c r="R16" i="15" s="1"/>
  <c r="R18" i="15" s="1"/>
  <c r="R19" i="15" s="1"/>
  <c r="R21" i="15" s="1"/>
  <c r="R23" i="15" s="1"/>
  <c r="R24" i="15" s="1"/>
  <c r="R26" i="15" s="1"/>
  <c r="R28" i="15" s="1"/>
  <c r="P40" i="15"/>
  <c r="P41" i="15"/>
  <c r="P40" i="3"/>
  <c r="P41" i="3"/>
  <c r="Q31" i="3"/>
  <c r="R12" i="3" s="1"/>
  <c r="R16" i="3" s="1"/>
  <c r="R18" i="3" s="1"/>
  <c r="R19" i="3" s="1"/>
  <c r="R21" i="3" s="1"/>
  <c r="R23" i="3" s="1"/>
  <c r="R24" i="3" s="1"/>
  <c r="R26" i="3" s="1"/>
  <c r="Q13" i="3"/>
  <c r="R27" i="3" l="1"/>
  <c r="R39" i="17" s="1"/>
  <c r="S14" i="17"/>
  <c r="S15" i="17" s="1"/>
  <c r="R28" i="3"/>
  <c r="L40" i="14"/>
  <c r="L41" i="14"/>
  <c r="M16" i="14"/>
  <c r="M18" i="14" s="1"/>
  <c r="M19" i="14" s="1"/>
  <c r="M21" i="14" s="1"/>
  <c r="M23" i="14" s="1"/>
  <c r="M24" i="14" s="1"/>
  <c r="M26" i="14" s="1"/>
  <c r="M13" i="14"/>
  <c r="L11" i="10"/>
  <c r="L12" i="10" s="1"/>
  <c r="M9" i="10" s="1"/>
  <c r="R30" i="15"/>
  <c r="R31" i="15" s="1"/>
  <c r="R27" i="15"/>
  <c r="P42" i="15"/>
  <c r="P44" i="15" s="1"/>
  <c r="P45" i="15" s="1"/>
  <c r="R13" i="15"/>
  <c r="Q37" i="15"/>
  <c r="Q36" i="3"/>
  <c r="Q37" i="3" s="1"/>
  <c r="P42" i="3"/>
  <c r="P44" i="3" s="1"/>
  <c r="P45" i="3" s="1"/>
  <c r="R34" i="15" l="1"/>
  <c r="R34" i="3"/>
  <c r="L42" i="14"/>
  <c r="L44" i="14" s="1"/>
  <c r="L45" i="14" s="1"/>
  <c r="M4" i="10"/>
  <c r="M30" i="14"/>
  <c r="M31" i="14" s="1"/>
  <c r="M27" i="14"/>
  <c r="M34" i="14" s="1"/>
  <c r="M28" i="14"/>
  <c r="S12" i="15"/>
  <c r="S16" i="15" s="1"/>
  <c r="S18" i="15" s="1"/>
  <c r="S19" i="15" s="1"/>
  <c r="S21" i="15" s="1"/>
  <c r="S23" i="15" s="1"/>
  <c r="S24" i="15" s="1"/>
  <c r="S26" i="15" s="1"/>
  <c r="R36" i="15"/>
  <c r="Q41" i="15"/>
  <c r="Q40" i="15"/>
  <c r="Q40" i="3"/>
  <c r="Q41" i="3"/>
  <c r="R31" i="3"/>
  <c r="S12" i="3" s="1"/>
  <c r="S16" i="3" s="1"/>
  <c r="S18" i="3" s="1"/>
  <c r="S19" i="3" s="1"/>
  <c r="S21" i="3" s="1"/>
  <c r="S23" i="3" s="1"/>
  <c r="S24" i="3" s="1"/>
  <c r="S26" i="3" s="1"/>
  <c r="R13" i="3"/>
  <c r="S27" i="3" l="1"/>
  <c r="S39" i="17" s="1"/>
  <c r="T14" i="17"/>
  <c r="T15" i="17" s="1"/>
  <c r="S28" i="3"/>
  <c r="M10" i="10"/>
  <c r="M5" i="10"/>
  <c r="M6" i="10" s="1"/>
  <c r="N3" i="10" s="1"/>
  <c r="M36" i="14"/>
  <c r="M37" i="14" s="1"/>
  <c r="N12" i="14"/>
  <c r="S30" i="15"/>
  <c r="S31" i="15" s="1"/>
  <c r="S28" i="15"/>
  <c r="S27" i="15"/>
  <c r="Q42" i="15"/>
  <c r="Q44" i="15" s="1"/>
  <c r="Q45" i="15" s="1"/>
  <c r="R37" i="15"/>
  <c r="S13" i="15"/>
  <c r="R36" i="3"/>
  <c r="R37" i="3" s="1"/>
  <c r="Q42" i="3"/>
  <c r="Q44" i="3" s="1"/>
  <c r="Q45" i="3" s="1"/>
  <c r="S34" i="15" l="1"/>
  <c r="S34" i="3"/>
  <c r="N16" i="14"/>
  <c r="N18" i="14" s="1"/>
  <c r="N19" i="14" s="1"/>
  <c r="N21" i="14" s="1"/>
  <c r="N23" i="14" s="1"/>
  <c r="N24" i="14" s="1"/>
  <c r="N26" i="14" s="1"/>
  <c r="N13" i="14"/>
  <c r="M41" i="14"/>
  <c r="M40" i="14"/>
  <c r="M11" i="10"/>
  <c r="M12" i="10" s="1"/>
  <c r="N9" i="10" s="1"/>
  <c r="T12" i="15"/>
  <c r="T16" i="15" s="1"/>
  <c r="T18" i="15" s="1"/>
  <c r="T19" i="15" s="1"/>
  <c r="T21" i="15" s="1"/>
  <c r="T23" i="15" s="1"/>
  <c r="T24" i="15" s="1"/>
  <c r="T26" i="15" s="1"/>
  <c r="S36" i="15"/>
  <c r="R41" i="15"/>
  <c r="R40" i="15"/>
  <c r="R40" i="3"/>
  <c r="R41" i="3"/>
  <c r="S13" i="3"/>
  <c r="S31" i="3"/>
  <c r="T12" i="3" s="1"/>
  <c r="T16" i="3" s="1"/>
  <c r="T18" i="3" s="1"/>
  <c r="T19" i="3" s="1"/>
  <c r="T21" i="3" s="1"/>
  <c r="T23" i="3" s="1"/>
  <c r="T24" i="3" s="1"/>
  <c r="T26" i="3" s="1"/>
  <c r="M42" i="14" l="1"/>
  <c r="M44" i="14" s="1"/>
  <c r="M45" i="14" s="1"/>
  <c r="T27" i="3"/>
  <c r="T39" i="17" s="1"/>
  <c r="U14" i="17"/>
  <c r="U15" i="17" s="1"/>
  <c r="T30" i="15"/>
  <c r="T31" i="15" s="1"/>
  <c r="T28" i="3"/>
  <c r="N4" i="10"/>
  <c r="N27" i="14"/>
  <c r="N34" i="14" s="1"/>
  <c r="N30" i="14"/>
  <c r="N31" i="14" s="1"/>
  <c r="N28" i="14"/>
  <c r="T27" i="15"/>
  <c r="T28" i="15"/>
  <c r="R42" i="15"/>
  <c r="R44" i="15" s="1"/>
  <c r="R45" i="15" s="1"/>
  <c r="S37" i="15"/>
  <c r="T13" i="15"/>
  <c r="S36" i="3"/>
  <c r="S37" i="3" s="1"/>
  <c r="R42" i="3"/>
  <c r="R44" i="3" s="1"/>
  <c r="R45" i="3" s="1"/>
  <c r="T34" i="15" l="1"/>
  <c r="T34" i="3"/>
  <c r="O12" i="14"/>
  <c r="N36" i="14"/>
  <c r="N37" i="14" s="1"/>
  <c r="N10" i="10"/>
  <c r="N5" i="10"/>
  <c r="N6" i="10" s="1"/>
  <c r="O3" i="10" s="1"/>
  <c r="U12" i="15"/>
  <c r="U16" i="15" s="1"/>
  <c r="U18" i="15" s="1"/>
  <c r="U19" i="15" s="1"/>
  <c r="U21" i="15" s="1"/>
  <c r="U23" i="15" s="1"/>
  <c r="U24" i="15" s="1"/>
  <c r="U26" i="15" s="1"/>
  <c r="T36" i="15"/>
  <c r="S40" i="15"/>
  <c r="S41" i="15"/>
  <c r="S40" i="3"/>
  <c r="S41" i="3"/>
  <c r="T13" i="3"/>
  <c r="T31" i="3"/>
  <c r="U12" i="3" s="1"/>
  <c r="U16" i="3" s="1"/>
  <c r="U18" i="3" s="1"/>
  <c r="U19" i="3" s="1"/>
  <c r="U21" i="3" s="1"/>
  <c r="U23" i="3" s="1"/>
  <c r="U24" i="3" s="1"/>
  <c r="U26" i="3" s="1"/>
  <c r="U27" i="3" l="1"/>
  <c r="U39" i="17" s="1"/>
  <c r="V14" i="17"/>
  <c r="V15" i="17" s="1"/>
  <c r="U30" i="15"/>
  <c r="U31" i="15" s="1"/>
  <c r="U28" i="3"/>
  <c r="O16" i="14"/>
  <c r="O18" i="14" s="1"/>
  <c r="O19" i="14" s="1"/>
  <c r="O21" i="14" s="1"/>
  <c r="O23" i="14" s="1"/>
  <c r="O24" i="14" s="1"/>
  <c r="O26" i="14" s="1"/>
  <c r="O13" i="14"/>
  <c r="N11" i="10"/>
  <c r="N12" i="10" s="1"/>
  <c r="O9" i="10" s="1"/>
  <c r="N41" i="14"/>
  <c r="N40" i="14"/>
  <c r="U27" i="15"/>
  <c r="U28" i="15"/>
  <c r="S42" i="15"/>
  <c r="S44" i="15" s="1"/>
  <c r="S45" i="15" s="1"/>
  <c r="T37" i="15"/>
  <c r="U13" i="15"/>
  <c r="T36" i="3"/>
  <c r="T37" i="3" s="1"/>
  <c r="S42" i="3"/>
  <c r="S44" i="3" s="1"/>
  <c r="S45" i="3" s="1"/>
  <c r="N42" i="14" l="1"/>
  <c r="N44" i="14" s="1"/>
  <c r="N45" i="14" s="1"/>
  <c r="U34" i="15"/>
  <c r="U34" i="3"/>
  <c r="O4" i="10"/>
  <c r="O27" i="14"/>
  <c r="O34" i="14" s="1"/>
  <c r="O30" i="14"/>
  <c r="O31" i="14" s="1"/>
  <c r="O28" i="14"/>
  <c r="V12" i="15"/>
  <c r="V16" i="15" s="1"/>
  <c r="V18" i="15" s="1"/>
  <c r="V19" i="15" s="1"/>
  <c r="V21" i="15" s="1"/>
  <c r="V23" i="15" s="1"/>
  <c r="V24" i="15" s="1"/>
  <c r="V26" i="15" s="1"/>
  <c r="U36" i="15"/>
  <c r="T41" i="15"/>
  <c r="T40" i="15"/>
  <c r="T41" i="3"/>
  <c r="T40" i="3"/>
  <c r="U13" i="3"/>
  <c r="U31" i="3"/>
  <c r="V12" i="3" s="1"/>
  <c r="V16" i="3" s="1"/>
  <c r="V18" i="3" s="1"/>
  <c r="V19" i="3" s="1"/>
  <c r="V21" i="3" s="1"/>
  <c r="V23" i="3" s="1"/>
  <c r="V24" i="3" s="1"/>
  <c r="V26" i="3" s="1"/>
  <c r="V27" i="3" l="1"/>
  <c r="V34" i="15" s="1"/>
  <c r="W14" i="17"/>
  <c r="W15" i="17" s="1"/>
  <c r="V30" i="15"/>
  <c r="V31" i="15" s="1"/>
  <c r="V28" i="3"/>
  <c r="O10" i="10"/>
  <c r="O5" i="10"/>
  <c r="O6" i="10" s="1"/>
  <c r="P3" i="10" s="1"/>
  <c r="P12" i="14"/>
  <c r="O36" i="14"/>
  <c r="O37" i="14" s="1"/>
  <c r="V28" i="15"/>
  <c r="T42" i="15"/>
  <c r="T44" i="15" s="1"/>
  <c r="T45" i="15" s="1"/>
  <c r="V27" i="15"/>
  <c r="U37" i="15"/>
  <c r="V13" i="15"/>
  <c r="T42" i="3"/>
  <c r="T44" i="3" s="1"/>
  <c r="T45" i="3" s="1"/>
  <c r="U36" i="3"/>
  <c r="U37" i="3" s="1"/>
  <c r="V39" i="17" l="1"/>
  <c r="V34" i="3"/>
  <c r="P16" i="14"/>
  <c r="P18" i="14" s="1"/>
  <c r="P19" i="14" s="1"/>
  <c r="P21" i="14" s="1"/>
  <c r="P23" i="14" s="1"/>
  <c r="P24" i="14" s="1"/>
  <c r="P26" i="14" s="1"/>
  <c r="P13" i="14"/>
  <c r="O41" i="14"/>
  <c r="O40" i="14"/>
  <c r="O11" i="10"/>
  <c r="O12" i="10" s="1"/>
  <c r="P9" i="10" s="1"/>
  <c r="V36" i="15"/>
  <c r="W12" i="15"/>
  <c r="W16" i="15" s="1"/>
  <c r="W18" i="15" s="1"/>
  <c r="W19" i="15" s="1"/>
  <c r="W21" i="15" s="1"/>
  <c r="W23" i="15" s="1"/>
  <c r="W24" i="15" s="1"/>
  <c r="W26" i="15" s="1"/>
  <c r="U40" i="15"/>
  <c r="U41" i="15"/>
  <c r="U40" i="3"/>
  <c r="U41" i="3"/>
  <c r="V13" i="3"/>
  <c r="V31" i="3"/>
  <c r="W12" i="3" s="1"/>
  <c r="W16" i="3" s="1"/>
  <c r="W18" i="3" s="1"/>
  <c r="W19" i="3" s="1"/>
  <c r="W21" i="3" s="1"/>
  <c r="W23" i="3" s="1"/>
  <c r="W24" i="3" s="1"/>
  <c r="W26" i="3" s="1"/>
  <c r="O42" i="14" l="1"/>
  <c r="O44" i="14" s="1"/>
  <c r="O45" i="14" s="1"/>
  <c r="W30" i="15"/>
  <c r="W31" i="15" s="1"/>
  <c r="W27" i="3"/>
  <c r="W34" i="15" s="1"/>
  <c r="X14" i="17"/>
  <c r="X15" i="17" s="1"/>
  <c r="W28" i="3"/>
  <c r="P28" i="14"/>
  <c r="P30" i="14"/>
  <c r="P31" i="14" s="1"/>
  <c r="P27" i="14"/>
  <c r="P4" i="10"/>
  <c r="W28" i="15"/>
  <c r="W27" i="15"/>
  <c r="U42" i="15"/>
  <c r="U44" i="15" s="1"/>
  <c r="U45" i="15" s="1"/>
  <c r="W13" i="15"/>
  <c r="V37" i="15"/>
  <c r="V36" i="3"/>
  <c r="V37" i="3" s="1"/>
  <c r="U42" i="3"/>
  <c r="U44" i="3" s="1"/>
  <c r="U45" i="3" s="1"/>
  <c r="W39" i="17" l="1"/>
  <c r="W34" i="3"/>
  <c r="P10" i="10"/>
  <c r="P5" i="10"/>
  <c r="P6" i="10" s="1"/>
  <c r="Q3" i="10" s="1"/>
  <c r="P34" i="14"/>
  <c r="P36" i="14"/>
  <c r="P37" i="14" s="1"/>
  <c r="Q12" i="14"/>
  <c r="X12" i="15"/>
  <c r="X16" i="15" s="1"/>
  <c r="W36" i="15"/>
  <c r="V40" i="15"/>
  <c r="V41" i="15"/>
  <c r="V40" i="3"/>
  <c r="V41" i="3"/>
  <c r="W13" i="3"/>
  <c r="W31" i="3"/>
  <c r="X12" i="3" s="1"/>
  <c r="X16" i="3" s="1"/>
  <c r="X18" i="3" s="1"/>
  <c r="X19" i="3" s="1"/>
  <c r="X21" i="3" s="1"/>
  <c r="X23" i="3" s="1"/>
  <c r="X24" i="3" s="1"/>
  <c r="X26" i="3" s="1"/>
  <c r="X27" i="3" l="1"/>
  <c r="X39" i="17" s="1"/>
  <c r="Y14" i="17"/>
  <c r="Y15" i="17" s="1"/>
  <c r="X28" i="3"/>
  <c r="P41" i="14"/>
  <c r="P40" i="14"/>
  <c r="Q16" i="14"/>
  <c r="Q18" i="14" s="1"/>
  <c r="Q19" i="14" s="1"/>
  <c r="Q21" i="14" s="1"/>
  <c r="Q23" i="14" s="1"/>
  <c r="Q24" i="14" s="1"/>
  <c r="Q26" i="14" s="1"/>
  <c r="Q13" i="14"/>
  <c r="P11" i="10"/>
  <c r="P12" i="10" s="1"/>
  <c r="Q9" i="10" s="1"/>
  <c r="X18" i="15"/>
  <c r="X19" i="15" s="1"/>
  <c r="X21" i="15" s="1"/>
  <c r="X23" i="15" s="1"/>
  <c r="X24" i="15" s="1"/>
  <c r="X26" i="15" s="1"/>
  <c r="W37" i="15"/>
  <c r="V42" i="15"/>
  <c r="V44" i="15" s="1"/>
  <c r="V45" i="15" s="1"/>
  <c r="X13" i="15"/>
  <c r="W36" i="3"/>
  <c r="W37" i="3" s="1"/>
  <c r="V42" i="3"/>
  <c r="V44" i="3" s="1"/>
  <c r="V45" i="3" s="1"/>
  <c r="X34" i="15" l="1"/>
  <c r="P42" i="14"/>
  <c r="P44" i="14" s="1"/>
  <c r="P45" i="14" s="1"/>
  <c r="X34" i="3"/>
  <c r="Q4" i="10"/>
  <c r="Q30" i="14"/>
  <c r="Q31" i="14" s="1"/>
  <c r="Q28" i="14"/>
  <c r="Q27" i="14"/>
  <c r="X30" i="15"/>
  <c r="X31" i="15" s="1"/>
  <c r="Y12" i="15" s="1"/>
  <c r="Y16" i="15" s="1"/>
  <c r="Y18" i="15" s="1"/>
  <c r="Y19" i="15" s="1"/>
  <c r="Y21" i="15" s="1"/>
  <c r="Y23" i="15" s="1"/>
  <c r="Y24" i="15" s="1"/>
  <c r="Y26" i="15" s="1"/>
  <c r="X28" i="15"/>
  <c r="X27" i="15"/>
  <c r="W41" i="15"/>
  <c r="W40" i="15"/>
  <c r="W40" i="3"/>
  <c r="W41" i="3"/>
  <c r="X31" i="3"/>
  <c r="Y12" i="3" s="1"/>
  <c r="Y16" i="3" s="1"/>
  <c r="Y18" i="3" s="1"/>
  <c r="Y19" i="3" s="1"/>
  <c r="Y21" i="3" s="1"/>
  <c r="Y23" i="3" s="1"/>
  <c r="Y24" i="3" s="1"/>
  <c r="Y26" i="3" s="1"/>
  <c r="X13" i="3"/>
  <c r="Y27" i="3" l="1"/>
  <c r="Y34" i="15" s="1"/>
  <c r="Z14" i="17"/>
  <c r="Z15" i="17" s="1"/>
  <c r="Y30" i="15"/>
  <c r="Y31" i="15" s="1"/>
  <c r="Y28" i="3"/>
  <c r="X36" i="15"/>
  <c r="X37" i="15" s="1"/>
  <c r="Q34" i="14"/>
  <c r="Q10" i="10"/>
  <c r="Q5" i="10"/>
  <c r="Q6" i="10" s="1"/>
  <c r="R3" i="10" s="1"/>
  <c r="R12" i="14"/>
  <c r="Q36" i="14"/>
  <c r="Q37" i="14" s="1"/>
  <c r="Y27" i="15"/>
  <c r="Y28" i="15"/>
  <c r="W42" i="15"/>
  <c r="W44" i="15" s="1"/>
  <c r="W45" i="15" s="1"/>
  <c r="Y13" i="15"/>
  <c r="X36" i="3"/>
  <c r="X37" i="3" s="1"/>
  <c r="W42" i="3"/>
  <c r="W44" i="3" s="1"/>
  <c r="W45" i="3" s="1"/>
  <c r="Y39" i="17" l="1"/>
  <c r="Y34" i="3"/>
  <c r="Q11" i="10"/>
  <c r="Q12" i="10" s="1"/>
  <c r="R9" i="10" s="1"/>
  <c r="R16" i="14"/>
  <c r="R18" i="14" s="1"/>
  <c r="R19" i="14" s="1"/>
  <c r="R21" i="14" s="1"/>
  <c r="R23" i="14" s="1"/>
  <c r="R24" i="14" s="1"/>
  <c r="R26" i="14" s="1"/>
  <c r="R13" i="14"/>
  <c r="Q40" i="14"/>
  <c r="Q41" i="14"/>
  <c r="X41" i="15"/>
  <c r="X40" i="15"/>
  <c r="Z12" i="15"/>
  <c r="Z16" i="15" s="1"/>
  <c r="Z18" i="15" s="1"/>
  <c r="Z19" i="15" s="1"/>
  <c r="Z21" i="15" s="1"/>
  <c r="Z23" i="15" s="1"/>
  <c r="Z24" i="15" s="1"/>
  <c r="Z26" i="15" s="1"/>
  <c r="Y36" i="15"/>
  <c r="X40" i="3"/>
  <c r="X41" i="3"/>
  <c r="Y13" i="3"/>
  <c r="Y31" i="3"/>
  <c r="Z12" i="3" s="1"/>
  <c r="Z16" i="3" s="1"/>
  <c r="Z18" i="3" s="1"/>
  <c r="Z19" i="3" s="1"/>
  <c r="Z21" i="3" s="1"/>
  <c r="Z23" i="3" s="1"/>
  <c r="Z24" i="3" s="1"/>
  <c r="Z26" i="3" s="1"/>
  <c r="Z27" i="3" l="1"/>
  <c r="Z34" i="15" s="1"/>
  <c r="AA14" i="17"/>
  <c r="AA15" i="17" s="1"/>
  <c r="Q42" i="14"/>
  <c r="Q44" i="14" s="1"/>
  <c r="Q45" i="14" s="1"/>
  <c r="Z30" i="15"/>
  <c r="Z31" i="15" s="1"/>
  <c r="Z28" i="3"/>
  <c r="R4" i="10"/>
  <c r="R30" i="14"/>
  <c r="R31" i="14" s="1"/>
  <c r="R27" i="14"/>
  <c r="R28" i="14"/>
  <c r="Z28" i="15"/>
  <c r="Z27" i="15"/>
  <c r="X42" i="15"/>
  <c r="X44" i="15" s="1"/>
  <c r="X45" i="15" s="1"/>
  <c r="Y37" i="15"/>
  <c r="Z13" i="15"/>
  <c r="Y36" i="3"/>
  <c r="Y37" i="3" s="1"/>
  <c r="X42" i="3"/>
  <c r="X44" i="3" s="1"/>
  <c r="X45" i="3" s="1"/>
  <c r="Z39" i="17" l="1"/>
  <c r="Z34" i="3"/>
  <c r="R34" i="14"/>
  <c r="S12" i="14"/>
  <c r="R36" i="14"/>
  <c r="R37" i="14" s="1"/>
  <c r="R10" i="10"/>
  <c r="R5" i="10"/>
  <c r="R6" i="10" s="1"/>
  <c r="S3" i="10" s="1"/>
  <c r="Y40" i="15"/>
  <c r="Y41" i="15"/>
  <c r="AA12" i="15"/>
  <c r="AA16" i="15" s="1"/>
  <c r="AA18" i="15" s="1"/>
  <c r="AA19" i="15" s="1"/>
  <c r="AA21" i="15" s="1"/>
  <c r="AA23" i="15" s="1"/>
  <c r="AA24" i="15" s="1"/>
  <c r="AA26" i="15" s="1"/>
  <c r="Z36" i="15"/>
  <c r="Y41" i="3"/>
  <c r="Y40" i="3"/>
  <c r="Z31" i="3"/>
  <c r="AA12" i="3" s="1"/>
  <c r="AA16" i="3" s="1"/>
  <c r="AA18" i="3" s="1"/>
  <c r="AA19" i="3" s="1"/>
  <c r="AA21" i="3" s="1"/>
  <c r="AA23" i="3" s="1"/>
  <c r="AA24" i="3" s="1"/>
  <c r="AA26" i="3" s="1"/>
  <c r="Z13" i="3"/>
  <c r="AA27" i="3" l="1"/>
  <c r="AA39" i="17" s="1"/>
  <c r="AB14" i="17"/>
  <c r="AB15" i="17" s="1"/>
  <c r="AA30" i="15"/>
  <c r="AA31" i="15" s="1"/>
  <c r="AA28" i="3"/>
  <c r="S16" i="14"/>
  <c r="S18" i="14" s="1"/>
  <c r="S19" i="14" s="1"/>
  <c r="S21" i="14" s="1"/>
  <c r="S23" i="14" s="1"/>
  <c r="S24" i="14" s="1"/>
  <c r="S26" i="14" s="1"/>
  <c r="S13" i="14"/>
  <c r="R40" i="14"/>
  <c r="R41" i="14"/>
  <c r="R11" i="10"/>
  <c r="R12" i="10" s="1"/>
  <c r="S9" i="10" s="1"/>
  <c r="AA28" i="15"/>
  <c r="AA27" i="15"/>
  <c r="Z37" i="15"/>
  <c r="AA13" i="15"/>
  <c r="Y42" i="15"/>
  <c r="Y44" i="15" s="1"/>
  <c r="Y45" i="15" s="1"/>
  <c r="Y42" i="3"/>
  <c r="Y44" i="3" s="1"/>
  <c r="Y45" i="3" s="1"/>
  <c r="Z36" i="3"/>
  <c r="Z37" i="3" s="1"/>
  <c r="AA34" i="15" l="1"/>
  <c r="AA34" i="3"/>
  <c r="R42" i="14"/>
  <c r="R44" i="14" s="1"/>
  <c r="R45" i="14" s="1"/>
  <c r="S4" i="10"/>
  <c r="S30" i="14"/>
  <c r="S31" i="14" s="1"/>
  <c r="S28" i="14"/>
  <c r="S27" i="14"/>
  <c r="AB12" i="15"/>
  <c r="AB16" i="15" s="1"/>
  <c r="AB18" i="15" s="1"/>
  <c r="AB19" i="15" s="1"/>
  <c r="AB21" i="15" s="1"/>
  <c r="AB23" i="15" s="1"/>
  <c r="AB24" i="15" s="1"/>
  <c r="AB26" i="15" s="1"/>
  <c r="AA36" i="15"/>
  <c r="Z40" i="15"/>
  <c r="Z41" i="15"/>
  <c r="Z40" i="3"/>
  <c r="Z41" i="3"/>
  <c r="AA31" i="3"/>
  <c r="AB12" i="3" s="1"/>
  <c r="AB16" i="3" s="1"/>
  <c r="AB18" i="3" s="1"/>
  <c r="AB19" i="3" s="1"/>
  <c r="AB21" i="3" s="1"/>
  <c r="AB23" i="3" s="1"/>
  <c r="AB24" i="3" s="1"/>
  <c r="AB26" i="3" s="1"/>
  <c r="AA13" i="3"/>
  <c r="AB30" i="15" l="1"/>
  <c r="AB31" i="15" s="1"/>
  <c r="AB27" i="3"/>
  <c r="AB39" i="17" s="1"/>
  <c r="AC14" i="17"/>
  <c r="AC15" i="17" s="1"/>
  <c r="AB28" i="3"/>
  <c r="S10" i="10"/>
  <c r="S5" i="10"/>
  <c r="S6" i="10" s="1"/>
  <c r="T3" i="10" s="1"/>
  <c r="T12" i="14"/>
  <c r="S36" i="14"/>
  <c r="S37" i="14" s="1"/>
  <c r="S34" i="14"/>
  <c r="AB28" i="15"/>
  <c r="AB27" i="15"/>
  <c r="Z42" i="15"/>
  <c r="Z44" i="15" s="1"/>
  <c r="Z45" i="15" s="1"/>
  <c r="AA37" i="15"/>
  <c r="AB13" i="15"/>
  <c r="AA36" i="3"/>
  <c r="AA37" i="3" s="1"/>
  <c r="Z42" i="3"/>
  <c r="Z44" i="3" s="1"/>
  <c r="Z45" i="3" s="1"/>
  <c r="AB34" i="15" l="1"/>
  <c r="AB34" i="3"/>
  <c r="S11" i="10"/>
  <c r="S12" i="10" s="1"/>
  <c r="T9" i="10" s="1"/>
  <c r="S41" i="14"/>
  <c r="S40" i="14"/>
  <c r="T16" i="14"/>
  <c r="T18" i="14" s="1"/>
  <c r="T19" i="14" s="1"/>
  <c r="T21" i="14" s="1"/>
  <c r="T23" i="14" s="1"/>
  <c r="T24" i="14" s="1"/>
  <c r="T26" i="14" s="1"/>
  <c r="T13" i="14"/>
  <c r="AA40" i="15"/>
  <c r="AA41" i="15"/>
  <c r="AC12" i="15"/>
  <c r="AC16" i="15" s="1"/>
  <c r="AC18" i="15" s="1"/>
  <c r="AC19" i="15" s="1"/>
  <c r="AC21" i="15" s="1"/>
  <c r="AC23" i="15" s="1"/>
  <c r="AC24" i="15" s="1"/>
  <c r="AC26" i="15" s="1"/>
  <c r="AB36" i="15"/>
  <c r="AA41" i="3"/>
  <c r="AA40" i="3"/>
  <c r="AB13" i="3"/>
  <c r="AB31" i="3"/>
  <c r="AC12" i="3" s="1"/>
  <c r="AC16" i="3" s="1"/>
  <c r="AC18" i="3" s="1"/>
  <c r="AC19" i="3" s="1"/>
  <c r="AC21" i="3" s="1"/>
  <c r="AC23" i="3" s="1"/>
  <c r="AC24" i="3" s="1"/>
  <c r="AC26" i="3" s="1"/>
  <c r="S42" i="14" l="1"/>
  <c r="S44" i="14" s="1"/>
  <c r="S45" i="14" s="1"/>
  <c r="AC27" i="3"/>
  <c r="AC39" i="17" s="1"/>
  <c r="AD14" i="17"/>
  <c r="AD15" i="17" s="1"/>
  <c r="AC30" i="15"/>
  <c r="AC31" i="15" s="1"/>
  <c r="AC28" i="3"/>
  <c r="T4" i="10"/>
  <c r="T30" i="14"/>
  <c r="T31" i="14" s="1"/>
  <c r="T27" i="14"/>
  <c r="T28" i="14"/>
  <c r="AC28" i="15"/>
  <c r="AC27" i="15"/>
  <c r="AB37" i="15"/>
  <c r="AC13" i="15"/>
  <c r="AA42" i="15"/>
  <c r="AA44" i="15" s="1"/>
  <c r="AA45" i="15" s="1"/>
  <c r="AA42" i="3"/>
  <c r="AA44" i="3" s="1"/>
  <c r="AA45" i="3" s="1"/>
  <c r="AB36" i="3"/>
  <c r="AB37" i="3" s="1"/>
  <c r="AC34" i="15" l="1"/>
  <c r="AC34" i="3"/>
  <c r="T34" i="14"/>
  <c r="T36" i="14"/>
  <c r="T37" i="14" s="1"/>
  <c r="U12" i="14"/>
  <c r="T10" i="10"/>
  <c r="T5" i="10"/>
  <c r="T6" i="10" s="1"/>
  <c r="U3" i="10" s="1"/>
  <c r="AC36" i="15"/>
  <c r="AD12" i="15"/>
  <c r="AD16" i="15" s="1"/>
  <c r="AD18" i="15" s="1"/>
  <c r="AD19" i="15" s="1"/>
  <c r="AD21" i="15" s="1"/>
  <c r="AD23" i="15" s="1"/>
  <c r="AD24" i="15" s="1"/>
  <c r="AD26" i="15" s="1"/>
  <c r="AB40" i="15"/>
  <c r="AB41" i="15"/>
  <c r="AB41" i="3"/>
  <c r="AB40" i="3"/>
  <c r="AC31" i="3"/>
  <c r="AD12" i="3" s="1"/>
  <c r="AD16" i="3" s="1"/>
  <c r="AD18" i="3" s="1"/>
  <c r="AD19" i="3" s="1"/>
  <c r="AD21" i="3" s="1"/>
  <c r="AD23" i="3" s="1"/>
  <c r="AD24" i="3" s="1"/>
  <c r="AD26" i="3" s="1"/>
  <c r="AC13" i="3"/>
  <c r="AD27" i="3" l="1"/>
  <c r="AD39" i="17" s="1"/>
  <c r="AE14" i="17"/>
  <c r="AE15" i="17" s="1"/>
  <c r="AD30" i="15"/>
  <c r="AD31" i="15" s="1"/>
  <c r="AD28" i="3"/>
  <c r="U16" i="14"/>
  <c r="U18" i="14" s="1"/>
  <c r="U19" i="14" s="1"/>
  <c r="U21" i="14" s="1"/>
  <c r="U23" i="14" s="1"/>
  <c r="U24" i="14" s="1"/>
  <c r="U26" i="14" s="1"/>
  <c r="U13" i="14"/>
  <c r="T40" i="14"/>
  <c r="T41" i="14"/>
  <c r="T11" i="10"/>
  <c r="T12" i="10" s="1"/>
  <c r="U9" i="10" s="1"/>
  <c r="AD27" i="15"/>
  <c r="AD28" i="15"/>
  <c r="AD13" i="15"/>
  <c r="AB42" i="15"/>
  <c r="AB44" i="15" s="1"/>
  <c r="AB45" i="15" s="1"/>
  <c r="AC37" i="15"/>
  <c r="AB42" i="3"/>
  <c r="AB44" i="3" s="1"/>
  <c r="AB45" i="3" s="1"/>
  <c r="AC36" i="3"/>
  <c r="AC37" i="3" s="1"/>
  <c r="AD34" i="15" l="1"/>
  <c r="AD34" i="3"/>
  <c r="T42" i="14"/>
  <c r="T44" i="14" s="1"/>
  <c r="T45" i="14" s="1"/>
  <c r="U4" i="10"/>
  <c r="U30" i="14"/>
  <c r="U31" i="14" s="1"/>
  <c r="U28" i="14"/>
  <c r="U27" i="14"/>
  <c r="AC40" i="15"/>
  <c r="AC41" i="15"/>
  <c r="AE12" i="15"/>
  <c r="AE16" i="15" s="1"/>
  <c r="AD36" i="15"/>
  <c r="AC41" i="3"/>
  <c r="AC40" i="3"/>
  <c r="AD13" i="3"/>
  <c r="AD31" i="3"/>
  <c r="AE12" i="3" s="1"/>
  <c r="AE16" i="3" s="1"/>
  <c r="AE18" i="3" s="1"/>
  <c r="AE19" i="3" s="1"/>
  <c r="AE21" i="3" s="1"/>
  <c r="AE23" i="3" s="1"/>
  <c r="AE24" i="3" s="1"/>
  <c r="AE26" i="3" s="1"/>
  <c r="AE27" i="3" s="1"/>
  <c r="AE39" i="17" l="1"/>
  <c r="AE34" i="15"/>
  <c r="AE28" i="3"/>
  <c r="AE34" i="3" s="1"/>
  <c r="U10" i="10"/>
  <c r="U5" i="10"/>
  <c r="U6" i="10" s="1"/>
  <c r="V3" i="10" s="1"/>
  <c r="U36" i="14"/>
  <c r="U37" i="14" s="1"/>
  <c r="V12" i="14"/>
  <c r="U34" i="14"/>
  <c r="AE18" i="15"/>
  <c r="AE19" i="15" s="1"/>
  <c r="AE21" i="15" s="1"/>
  <c r="AE23" i="15" s="1"/>
  <c r="AE24" i="15" s="1"/>
  <c r="AE26" i="15" s="1"/>
  <c r="AE13" i="15"/>
  <c r="AD37" i="15"/>
  <c r="AC42" i="15"/>
  <c r="AC44" i="15" s="1"/>
  <c r="AC45" i="15" s="1"/>
  <c r="AC42" i="3"/>
  <c r="AC44" i="3" s="1"/>
  <c r="AC45" i="3" s="1"/>
  <c r="AD36" i="3"/>
  <c r="AD37" i="3" s="1"/>
  <c r="V16" i="14" l="1"/>
  <c r="V18" i="14" s="1"/>
  <c r="V19" i="14" s="1"/>
  <c r="V21" i="14" s="1"/>
  <c r="V23" i="14" s="1"/>
  <c r="V24" i="14" s="1"/>
  <c r="V26" i="14" s="1"/>
  <c r="V13" i="14"/>
  <c r="U40" i="14"/>
  <c r="U41" i="14"/>
  <c r="U11" i="10"/>
  <c r="U12" i="10" s="1"/>
  <c r="V9" i="10" s="1"/>
  <c r="AE30" i="15"/>
  <c r="AE31" i="15" s="1"/>
  <c r="AE36" i="15" s="1"/>
  <c r="AE37" i="15" s="1"/>
  <c r="AE27" i="15"/>
  <c r="AE28" i="15"/>
  <c r="AD40" i="15"/>
  <c r="AD41" i="15"/>
  <c r="AD40" i="3"/>
  <c r="AD41" i="3"/>
  <c r="AE13" i="3"/>
  <c r="AE31" i="3"/>
  <c r="AE36" i="3" s="1"/>
  <c r="U42" i="14" l="1"/>
  <c r="U44" i="14" s="1"/>
  <c r="U45" i="14" s="1"/>
  <c r="V4" i="10"/>
  <c r="V30" i="14"/>
  <c r="V31" i="14" s="1"/>
  <c r="V28" i="14"/>
  <c r="V27" i="14"/>
  <c r="AD42" i="15"/>
  <c r="AD44" i="15" s="1"/>
  <c r="AD45" i="15" s="1"/>
  <c r="AE41" i="15"/>
  <c r="AE40" i="15"/>
  <c r="AE37" i="3"/>
  <c r="AE40" i="3" s="1"/>
  <c r="AD42" i="3"/>
  <c r="AD44" i="3" s="1"/>
  <c r="AD45" i="3" s="1"/>
  <c r="V34" i="14" l="1"/>
  <c r="V36" i="14"/>
  <c r="V37" i="14" s="1"/>
  <c r="W12" i="14"/>
  <c r="V10" i="10"/>
  <c r="V5" i="10"/>
  <c r="V6" i="10" s="1"/>
  <c r="W3" i="10" s="1"/>
  <c r="AE42" i="15"/>
  <c r="AE44" i="15" s="1"/>
  <c r="AE45" i="15" s="1"/>
  <c r="AE41" i="3"/>
  <c r="AE42" i="3" s="1"/>
  <c r="AE44" i="3" s="1"/>
  <c r="AE45" i="3" s="1"/>
  <c r="W16" i="14" l="1"/>
  <c r="W18" i="14" s="1"/>
  <c r="W19" i="14" s="1"/>
  <c r="W21" i="14" s="1"/>
  <c r="W23" i="14" s="1"/>
  <c r="W24" i="14" s="1"/>
  <c r="W26" i="14" s="1"/>
  <c r="W13" i="14"/>
  <c r="V11" i="10"/>
  <c r="V12" i="10" s="1"/>
  <c r="W9" i="10" s="1"/>
  <c r="V40" i="14"/>
  <c r="V41" i="14"/>
  <c r="V42" i="14" l="1"/>
  <c r="V44" i="14" s="1"/>
  <c r="V45" i="14" s="1"/>
  <c r="W4" i="10"/>
  <c r="W30" i="14"/>
  <c r="W31" i="14" s="1"/>
  <c r="W27" i="14"/>
  <c r="W28" i="14"/>
  <c r="W34" i="14" l="1"/>
  <c r="X12" i="14"/>
  <c r="W36" i="14"/>
  <c r="W37" i="14" s="1"/>
  <c r="W10" i="10"/>
  <c r="W5" i="10"/>
  <c r="W6" i="10" s="1"/>
  <c r="X3" i="10" s="1"/>
  <c r="X16" i="14" l="1"/>
  <c r="X18" i="14" s="1"/>
  <c r="X19" i="14" s="1"/>
  <c r="X21" i="14" s="1"/>
  <c r="X23" i="14" s="1"/>
  <c r="X24" i="14" s="1"/>
  <c r="X26" i="14" s="1"/>
  <c r="X13" i="14"/>
  <c r="W41" i="14"/>
  <c r="W40" i="14"/>
  <c r="W11" i="10"/>
  <c r="W12" i="10" s="1"/>
  <c r="X9" i="10" s="1"/>
  <c r="W42" i="14" l="1"/>
  <c r="W44" i="14" s="1"/>
  <c r="W45" i="14" s="1"/>
  <c r="X4" i="10"/>
  <c r="X30" i="14"/>
  <c r="X31" i="14" s="1"/>
  <c r="X27" i="14"/>
  <c r="X28" i="14"/>
  <c r="X34" i="14" l="1"/>
  <c r="X10" i="10"/>
  <c r="X5" i="10"/>
  <c r="X6" i="10" s="1"/>
  <c r="Y3" i="10" s="1"/>
  <c r="Y12" i="14"/>
  <c r="X36" i="14"/>
  <c r="X37" i="14" s="1"/>
  <c r="X11" i="10" l="1"/>
  <c r="X12" i="10" s="1"/>
  <c r="Y9" i="10" s="1"/>
  <c r="Y16" i="14"/>
  <c r="Y18" i="14" s="1"/>
  <c r="Y19" i="14" s="1"/>
  <c r="Y21" i="14" s="1"/>
  <c r="Y23" i="14" s="1"/>
  <c r="Y24" i="14" s="1"/>
  <c r="Y26" i="14" s="1"/>
  <c r="Y13" i="14"/>
  <c r="X40" i="14"/>
  <c r="X41" i="14"/>
  <c r="X42" i="14" l="1"/>
  <c r="X44" i="14" s="1"/>
  <c r="X45" i="14" s="1"/>
  <c r="Y4" i="10"/>
  <c r="Y30" i="14"/>
  <c r="Y31" i="14" s="1"/>
  <c r="Y28" i="14"/>
  <c r="Y27" i="14"/>
  <c r="Z12" i="14" l="1"/>
  <c r="Y36" i="14"/>
  <c r="Y37" i="14" s="1"/>
  <c r="Y34" i="14"/>
  <c r="Y10" i="10"/>
  <c r="Y5" i="10"/>
  <c r="Y6" i="10" s="1"/>
  <c r="Z3" i="10" s="1"/>
  <c r="Y41" i="14" l="1"/>
  <c r="Y40" i="14"/>
  <c r="Y11" i="10"/>
  <c r="Y12" i="10" s="1"/>
  <c r="Z9" i="10" s="1"/>
  <c r="Z16" i="14"/>
  <c r="Z18" i="14" s="1"/>
  <c r="Z19" i="14" s="1"/>
  <c r="Z21" i="14" s="1"/>
  <c r="Z23" i="14" s="1"/>
  <c r="Z24" i="14" s="1"/>
  <c r="Z26" i="14" s="1"/>
  <c r="Z13" i="14"/>
  <c r="Y42" i="14" l="1"/>
  <c r="Y44" i="14" s="1"/>
  <c r="Y45" i="14" s="1"/>
  <c r="Z4" i="10"/>
  <c r="Z30" i="14"/>
  <c r="Z31" i="14" s="1"/>
  <c r="Z28" i="14"/>
  <c r="Z27" i="14"/>
  <c r="Z34" i="14" l="1"/>
  <c r="AA12" i="14"/>
  <c r="Z36" i="14"/>
  <c r="Z37" i="14" s="1"/>
  <c r="Z10" i="10"/>
  <c r="Z5" i="10"/>
  <c r="Z6" i="10" s="1"/>
  <c r="AA3" i="10" s="1"/>
  <c r="Z41" i="14" l="1"/>
  <c r="Z40" i="14"/>
  <c r="AA16" i="14"/>
  <c r="AA18" i="14" s="1"/>
  <c r="AA19" i="14" s="1"/>
  <c r="AA21" i="14" s="1"/>
  <c r="AA23" i="14" s="1"/>
  <c r="AA24" i="14" s="1"/>
  <c r="AA26" i="14" s="1"/>
  <c r="AA13" i="14"/>
  <c r="Z11" i="10"/>
  <c r="Z12" i="10" s="1"/>
  <c r="AA9" i="10" s="1"/>
  <c r="Z42" i="14" l="1"/>
  <c r="Z44" i="14" s="1"/>
  <c r="Z45" i="14" s="1"/>
  <c r="AA4" i="10"/>
  <c r="AA30" i="14"/>
  <c r="AA31" i="14" s="1"/>
  <c r="AA27" i="14"/>
  <c r="AA28" i="14"/>
  <c r="AB12" i="14" l="1"/>
  <c r="AA36" i="14"/>
  <c r="AA37" i="14" s="1"/>
  <c r="AA34" i="14"/>
  <c r="AA10" i="10"/>
  <c r="AA5" i="10"/>
  <c r="AA6" i="10" s="1"/>
  <c r="AB3" i="10" s="1"/>
  <c r="AA40" i="14" l="1"/>
  <c r="AA41" i="14"/>
  <c r="AA11" i="10"/>
  <c r="AA12" i="10" s="1"/>
  <c r="AB9" i="10" s="1"/>
  <c r="AB16" i="14"/>
  <c r="AB18" i="14" s="1"/>
  <c r="AB19" i="14" s="1"/>
  <c r="AB21" i="14" s="1"/>
  <c r="AB23" i="14" s="1"/>
  <c r="AB24" i="14" s="1"/>
  <c r="AB26" i="14" s="1"/>
  <c r="AB13" i="14"/>
  <c r="AA42" i="14" l="1"/>
  <c r="AA44" i="14" s="1"/>
  <c r="AA45" i="14" s="1"/>
  <c r="AB4" i="10"/>
  <c r="AB30" i="14"/>
  <c r="AB31" i="14" s="1"/>
  <c r="AB27" i="14"/>
  <c r="AB28" i="14"/>
  <c r="AB10" i="10" l="1"/>
  <c r="AB5" i="10"/>
  <c r="AB6" i="10" s="1"/>
  <c r="AC3" i="10" s="1"/>
  <c r="AB34" i="14"/>
  <c r="AC12" i="14"/>
  <c r="AB36" i="14"/>
  <c r="AB37" i="14" s="1"/>
  <c r="AB40" i="14" l="1"/>
  <c r="AB41" i="14"/>
  <c r="AC16" i="14"/>
  <c r="AC18" i="14" s="1"/>
  <c r="AC19" i="14" s="1"/>
  <c r="AC21" i="14" s="1"/>
  <c r="AC23" i="14" s="1"/>
  <c r="AC24" i="14" s="1"/>
  <c r="AC26" i="14" s="1"/>
  <c r="AC13" i="14"/>
  <c r="AB11" i="10"/>
  <c r="AB12" i="10" s="1"/>
  <c r="AC9" i="10" s="1"/>
  <c r="AC4" i="10" l="1"/>
  <c r="AC30" i="14"/>
  <c r="AC31" i="14" s="1"/>
  <c r="AC28" i="14"/>
  <c r="AC27" i="14"/>
  <c r="AB42" i="14"/>
  <c r="AB44" i="14" s="1"/>
  <c r="AB45" i="14" s="1"/>
  <c r="AC34" i="14" l="1"/>
  <c r="AC36" i="14"/>
  <c r="AC37" i="14" s="1"/>
  <c r="AD12" i="14"/>
  <c r="AC10" i="10"/>
  <c r="AC5" i="10"/>
  <c r="AC6" i="10" s="1"/>
  <c r="AD3" i="10" s="1"/>
  <c r="AD16" i="14" l="1"/>
  <c r="AD18" i="14" s="1"/>
  <c r="AD19" i="14" s="1"/>
  <c r="AD21" i="14" s="1"/>
  <c r="AD23" i="14" s="1"/>
  <c r="AD24" i="14" s="1"/>
  <c r="AD26" i="14" s="1"/>
  <c r="AD13" i="14"/>
  <c r="AC11" i="10"/>
  <c r="AC12" i="10" s="1"/>
  <c r="AD9" i="10" s="1"/>
  <c r="AC40" i="14"/>
  <c r="AC41" i="14"/>
  <c r="AC42" i="14" l="1"/>
  <c r="AC44" i="14" s="1"/>
  <c r="AC45" i="14" s="1"/>
  <c r="AD4" i="10"/>
  <c r="AD30" i="14"/>
  <c r="AD31" i="14" s="1"/>
  <c r="AD28" i="14"/>
  <c r="AD27" i="14"/>
  <c r="AD34" i="14" l="1"/>
  <c r="AE12" i="14"/>
  <c r="AD36" i="14"/>
  <c r="AD37" i="14" s="1"/>
  <c r="AD10" i="10"/>
  <c r="AD5" i="10"/>
  <c r="AD6" i="10" s="1"/>
  <c r="AE3" i="10" s="1"/>
  <c r="AD40" i="14" l="1"/>
  <c r="AD41" i="14"/>
  <c r="AE16" i="14"/>
  <c r="AE18" i="14" s="1"/>
  <c r="AE19" i="14" s="1"/>
  <c r="AE21" i="14" s="1"/>
  <c r="AE23" i="14" s="1"/>
  <c r="AE24" i="14" s="1"/>
  <c r="AE26" i="14" s="1"/>
  <c r="AE13" i="14"/>
  <c r="AD11" i="10"/>
  <c r="AD12" i="10" s="1"/>
  <c r="AE9" i="10" s="1"/>
  <c r="AD42" i="14" l="1"/>
  <c r="AD44" i="14" s="1"/>
  <c r="AD45" i="14" s="1"/>
  <c r="AE4" i="10"/>
  <c r="AE30" i="14"/>
  <c r="AE31" i="14" s="1"/>
  <c r="AE36" i="14" s="1"/>
  <c r="AE37" i="14" s="1"/>
  <c r="AE27" i="14"/>
  <c r="AE34" i="14" s="1"/>
  <c r="AE28" i="14"/>
  <c r="AE41" i="14" l="1"/>
  <c r="AE40" i="14"/>
  <c r="AE10" i="10"/>
  <c r="AE5" i="10"/>
  <c r="AE6" i="10" s="1"/>
  <c r="AE42" i="14" l="1"/>
  <c r="AE44" i="14" s="1"/>
  <c r="AE45" i="14" s="1"/>
  <c r="AE11" i="10"/>
  <c r="AE12" i="10" s="1"/>
  <c r="B36" i="17" l="1"/>
  <c r="C13" i="17" s="1"/>
  <c r="B41" i="17" l="1"/>
  <c r="C18" i="17"/>
  <c r="C20" i="17"/>
  <c r="C23" i="17" l="1"/>
  <c r="C21" i="17"/>
  <c r="B42" i="17"/>
  <c r="C24" i="17" l="1"/>
  <c r="B46" i="17"/>
  <c r="B45" i="17"/>
  <c r="C26" i="17" l="1"/>
  <c r="C28" i="17" s="1"/>
  <c r="C29" i="17" s="1"/>
  <c r="C31" i="17" s="1"/>
  <c r="C33" i="17" s="1"/>
  <c r="C35" i="17"/>
  <c r="C36" i="17" s="1"/>
  <c r="B47" i="17"/>
  <c r="B49" i="17" s="1"/>
  <c r="B50" i="17" s="1"/>
  <c r="C32" i="17" l="1"/>
  <c r="C41" i="17"/>
  <c r="D13" i="17"/>
  <c r="D20" i="17" l="1"/>
  <c r="D18" i="17"/>
  <c r="C42" i="17"/>
  <c r="C46" i="17" l="1"/>
  <c r="C45" i="17"/>
  <c r="D23" i="17"/>
  <c r="D21" i="17"/>
  <c r="D24" i="17" l="1"/>
  <c r="D35" i="17" s="1"/>
  <c r="C47" i="17"/>
  <c r="C49" i="17" s="1"/>
  <c r="C50" i="17" s="1"/>
  <c r="D26" i="17" l="1"/>
  <c r="D28" i="17" s="1"/>
  <c r="D29" i="17" s="1"/>
  <c r="D31" i="17" s="1"/>
  <c r="D32" i="17" s="1"/>
  <c r="D36" i="17"/>
  <c r="D33" i="17" l="1"/>
  <c r="E13" i="17"/>
  <c r="D41" i="17"/>
  <c r="D42" i="17" l="1"/>
  <c r="E20" i="17"/>
  <c r="E18" i="17"/>
  <c r="E23" i="17" l="1"/>
  <c r="E21" i="17"/>
  <c r="D45" i="17"/>
  <c r="D46" i="17"/>
  <c r="D47" i="17" l="1"/>
  <c r="D49" i="17" s="1"/>
  <c r="D50" i="17" s="1"/>
  <c r="E24" i="17"/>
  <c r="E35" i="17" s="1"/>
  <c r="E26" i="17" l="1"/>
  <c r="E28" i="17" s="1"/>
  <c r="E29" i="17" s="1"/>
  <c r="E31" i="17" s="1"/>
  <c r="E32" i="17" l="1"/>
  <c r="E36" i="17"/>
  <c r="E33" i="17"/>
  <c r="F13" i="17" l="1"/>
  <c r="E41" i="17"/>
  <c r="E42" i="17" l="1"/>
  <c r="F20" i="17"/>
  <c r="F18" i="17"/>
  <c r="F23" i="17" l="1"/>
  <c r="F21" i="17"/>
  <c r="E45" i="17"/>
  <c r="E46" i="17"/>
  <c r="E47" i="17" l="1"/>
  <c r="E49" i="17" s="1"/>
  <c r="E50" i="17" s="1"/>
  <c r="F24" i="17"/>
  <c r="F26" i="17" l="1"/>
  <c r="F28" i="17" s="1"/>
  <c r="F29" i="17" s="1"/>
  <c r="F31" i="17" s="1"/>
  <c r="F33" i="17" s="1"/>
  <c r="F35" i="17"/>
  <c r="F36" i="17" s="1"/>
  <c r="F32" i="17" l="1"/>
  <c r="F41" i="17"/>
  <c r="G13" i="17"/>
  <c r="G18" i="17" l="1"/>
  <c r="G20" i="17"/>
  <c r="F42" i="17"/>
  <c r="F46" i="17" l="1"/>
  <c r="F45" i="17"/>
  <c r="G23" i="17"/>
  <c r="G21" i="17"/>
  <c r="G24" i="17" l="1"/>
  <c r="G35" i="17" s="1"/>
  <c r="F47" i="17"/>
  <c r="F49" i="17" s="1"/>
  <c r="F50" i="17" s="1"/>
  <c r="G26" i="17" l="1"/>
  <c r="G28" i="17" s="1"/>
  <c r="G29" i="17" s="1"/>
  <c r="G31" i="17" s="1"/>
  <c r="G36" i="17" l="1"/>
  <c r="G32" i="17"/>
  <c r="G33" i="17"/>
  <c r="G41" i="17" l="1"/>
  <c r="H13" i="17"/>
  <c r="H18" i="17" l="1"/>
  <c r="H20" i="17"/>
  <c r="G42" i="17"/>
  <c r="G46" i="17" l="1"/>
  <c r="G45" i="17"/>
  <c r="H23" i="17"/>
  <c r="H21" i="17"/>
  <c r="H24" i="17" l="1"/>
  <c r="G47" i="17"/>
  <c r="G49" i="17" s="1"/>
  <c r="G50" i="17" s="1"/>
  <c r="H26" i="17" l="1"/>
  <c r="H28" i="17" s="1"/>
  <c r="H29" i="17" s="1"/>
  <c r="H31" i="17" s="1"/>
  <c r="H32" i="17" s="1"/>
  <c r="H35" i="17"/>
  <c r="H36" i="17" s="1"/>
  <c r="H33" i="17" l="1"/>
  <c r="H41" i="17"/>
  <c r="I13" i="17"/>
  <c r="I20" i="17" l="1"/>
  <c r="I18" i="17"/>
  <c r="H42" i="17"/>
  <c r="H45" i="17" l="1"/>
  <c r="H46" i="17"/>
  <c r="I23" i="17"/>
  <c r="I21" i="17"/>
  <c r="I24" i="17" l="1"/>
  <c r="H47" i="17"/>
  <c r="H49" i="17" s="1"/>
  <c r="H50" i="17" s="1"/>
  <c r="I26" i="17" l="1"/>
  <c r="I28" i="17" s="1"/>
  <c r="I29" i="17" s="1"/>
  <c r="I31" i="17" s="1"/>
  <c r="I32" i="17" s="1"/>
  <c r="I35" i="17"/>
  <c r="I36" i="17" s="1"/>
  <c r="I33" i="17" l="1"/>
  <c r="J13" i="17"/>
  <c r="I41" i="17"/>
  <c r="I42" i="17" l="1"/>
  <c r="J20" i="17"/>
  <c r="J18" i="17"/>
  <c r="J23" i="17" l="1"/>
  <c r="J21" i="17"/>
  <c r="I46" i="17"/>
  <c r="I45" i="17"/>
  <c r="J24" i="17" l="1"/>
  <c r="I47" i="17"/>
  <c r="I49" i="17" s="1"/>
  <c r="I50" i="17" s="1"/>
  <c r="J26" i="17" l="1"/>
  <c r="J28" i="17" s="1"/>
  <c r="J29" i="17" s="1"/>
  <c r="J31" i="17" s="1"/>
  <c r="J32" i="17" s="1"/>
  <c r="J35" i="17"/>
  <c r="J36" i="17" s="1"/>
  <c r="J33" i="17" l="1"/>
  <c r="K13" i="17"/>
  <c r="J41" i="17"/>
  <c r="J42" i="17" l="1"/>
  <c r="K20" i="17"/>
  <c r="K18" i="17"/>
  <c r="K23" i="17" l="1"/>
  <c r="K21" i="17"/>
  <c r="J46" i="17"/>
  <c r="J45" i="17"/>
  <c r="J47" i="17" l="1"/>
  <c r="J49" i="17" s="1"/>
  <c r="J50" i="17" s="1"/>
  <c r="K24" i="17"/>
  <c r="K35" i="17" s="1"/>
  <c r="K26" i="17" l="1"/>
  <c r="K28" i="17" s="1"/>
  <c r="K29" i="17" s="1"/>
  <c r="K31" i="17" s="1"/>
  <c r="K36" i="17" l="1"/>
  <c r="K32" i="17"/>
  <c r="K33" i="17"/>
  <c r="K41" i="17" l="1"/>
  <c r="L13" i="17"/>
  <c r="L20" i="17" l="1"/>
  <c r="L18" i="17"/>
  <c r="K42" i="17"/>
  <c r="K45" i="17" l="1"/>
  <c r="K46" i="17"/>
  <c r="L23" i="17"/>
  <c r="L21" i="17"/>
  <c r="L24" i="17" l="1"/>
  <c r="K47" i="17"/>
  <c r="K49" i="17" s="1"/>
  <c r="K50" i="17" s="1"/>
  <c r="L26" i="17" l="1"/>
  <c r="L28" i="17" s="1"/>
  <c r="L29" i="17" s="1"/>
  <c r="L31" i="17" s="1"/>
  <c r="L32" i="17" s="1"/>
  <c r="L35" i="17"/>
  <c r="L36" i="17" s="1"/>
  <c r="L33" i="17" l="1"/>
  <c r="L41" i="17"/>
  <c r="M13" i="17"/>
  <c r="M18" i="17" l="1"/>
  <c r="M20" i="17"/>
  <c r="L42" i="17"/>
  <c r="L46" i="17" l="1"/>
  <c r="L45" i="17"/>
  <c r="M23" i="17"/>
  <c r="M21" i="17"/>
  <c r="M24" i="17" s="1"/>
  <c r="M35" i="17" s="1"/>
  <c r="L47" i="17" l="1"/>
  <c r="L49" i="17" s="1"/>
  <c r="L50" i="17" s="1"/>
  <c r="M26" i="17"/>
  <c r="M28" i="17" s="1"/>
  <c r="M29" i="17" s="1"/>
  <c r="M31" i="17" s="1"/>
  <c r="M32" i="17" l="1"/>
  <c r="M36" i="17"/>
  <c r="M33" i="17"/>
  <c r="N13" i="17" l="1"/>
  <c r="M41" i="17"/>
  <c r="M42" i="17" l="1"/>
  <c r="N20" i="17"/>
  <c r="N18" i="17"/>
  <c r="M45" i="17" l="1"/>
  <c r="M46" i="17"/>
  <c r="N21" i="17"/>
  <c r="N23" i="17"/>
  <c r="N24" i="17" l="1"/>
  <c r="N35" i="17" s="1"/>
  <c r="M47" i="17"/>
  <c r="M49" i="17" s="1"/>
  <c r="M50" i="17" s="1"/>
  <c r="N26" i="17" l="1"/>
  <c r="N28" i="17" s="1"/>
  <c r="N29" i="17" s="1"/>
  <c r="N31" i="17" s="1"/>
  <c r="N36" i="17" l="1"/>
  <c r="N32" i="17"/>
  <c r="N33" i="17"/>
  <c r="O13" i="17" l="1"/>
  <c r="N41" i="17"/>
  <c r="N42" i="17" l="1"/>
  <c r="O20" i="17"/>
  <c r="O18" i="17"/>
  <c r="N45" i="17" l="1"/>
  <c r="N46" i="17"/>
  <c r="O23" i="17"/>
  <c r="O21" i="17"/>
  <c r="O24" i="17" l="1"/>
  <c r="O35" i="17" s="1"/>
  <c r="N47" i="17"/>
  <c r="N49" i="17" s="1"/>
  <c r="N50" i="17" s="1"/>
  <c r="O26" i="17" l="1"/>
  <c r="O28" i="17" s="1"/>
  <c r="O29" i="17" s="1"/>
  <c r="O31" i="17" s="1"/>
  <c r="O32" i="17" s="1"/>
  <c r="O36" i="17"/>
  <c r="O33" i="17" l="1"/>
  <c r="O41" i="17"/>
  <c r="P13" i="17"/>
  <c r="P20" i="17" l="1"/>
  <c r="P18" i="17"/>
  <c r="O42" i="17"/>
  <c r="O46" i="17" l="1"/>
  <c r="O45" i="17"/>
  <c r="P23" i="17"/>
  <c r="P21" i="17"/>
  <c r="P24" i="17" l="1"/>
  <c r="P35" i="17" s="1"/>
  <c r="O47" i="17"/>
  <c r="O49" i="17" s="1"/>
  <c r="O50" i="17" s="1"/>
  <c r="P26" i="17" l="1"/>
  <c r="P28" i="17" s="1"/>
  <c r="P29" i="17" s="1"/>
  <c r="P31" i="17" s="1"/>
  <c r="P32" i="17" s="1"/>
  <c r="P36" i="17"/>
  <c r="P33" i="17" l="1"/>
  <c r="P41" i="17"/>
  <c r="Q13" i="17"/>
  <c r="Q20" i="17" l="1"/>
  <c r="Q18" i="17"/>
  <c r="P42" i="17"/>
  <c r="P45" i="17" l="1"/>
  <c r="P46" i="17"/>
  <c r="Q23" i="17"/>
  <c r="Q21" i="17"/>
  <c r="Q24" i="17" l="1"/>
  <c r="P47" i="17"/>
  <c r="P49" i="17" s="1"/>
  <c r="P50" i="17" s="1"/>
  <c r="Q26" i="17" l="1"/>
  <c r="Q28" i="17" s="1"/>
  <c r="Q29" i="17" s="1"/>
  <c r="Q31" i="17" s="1"/>
  <c r="Q32" i="17" s="1"/>
  <c r="Q35" i="17"/>
  <c r="Q36" i="17" s="1"/>
  <c r="Q33" i="17" l="1"/>
  <c r="Q41" i="17"/>
  <c r="R13" i="17"/>
  <c r="R20" i="17" l="1"/>
  <c r="R18" i="17"/>
  <c r="Q42" i="17"/>
  <c r="Q46" i="17" l="1"/>
  <c r="Q45" i="17"/>
  <c r="R23" i="17"/>
  <c r="R21" i="17"/>
  <c r="R24" i="17" l="1"/>
  <c r="R35" i="17" s="1"/>
  <c r="Q47" i="17"/>
  <c r="Q49" i="17" s="1"/>
  <c r="Q50" i="17" s="1"/>
  <c r="R26" i="17" l="1"/>
  <c r="R28" i="17" s="1"/>
  <c r="R29" i="17" s="1"/>
  <c r="R31" i="17" s="1"/>
  <c r="R33" i="17" s="1"/>
  <c r="R36" i="17"/>
  <c r="R32" i="17" l="1"/>
  <c r="R41" i="17"/>
  <c r="S13" i="17"/>
  <c r="S20" i="17" l="1"/>
  <c r="S18" i="17"/>
  <c r="R42" i="17"/>
  <c r="S23" i="17" l="1"/>
  <c r="S21" i="17"/>
  <c r="R46" i="17"/>
  <c r="R45" i="17"/>
  <c r="R47" i="17" l="1"/>
  <c r="R49" i="17" s="1"/>
  <c r="R50" i="17" s="1"/>
  <c r="S24" i="17"/>
  <c r="S35" i="17" s="1"/>
  <c r="S26" i="17" l="1"/>
  <c r="S28" i="17" s="1"/>
  <c r="S29" i="17" s="1"/>
  <c r="S31" i="17" s="1"/>
  <c r="S32" i="17" s="1"/>
  <c r="S36" i="17"/>
  <c r="S33" i="17" l="1"/>
  <c r="T13" i="17"/>
  <c r="S41" i="17"/>
  <c r="S42" i="17" l="1"/>
  <c r="T20" i="17"/>
  <c r="T18" i="17"/>
  <c r="T23" i="17" l="1"/>
  <c r="T21" i="17"/>
  <c r="S46" i="17"/>
  <c r="S45" i="17"/>
  <c r="T24" i="17" l="1"/>
  <c r="T35" i="17" s="1"/>
  <c r="S47" i="17"/>
  <c r="S49" i="17" s="1"/>
  <c r="S50" i="17" s="1"/>
  <c r="T26" i="17" l="1"/>
  <c r="T28" i="17" s="1"/>
  <c r="T29" i="17" s="1"/>
  <c r="T31" i="17" s="1"/>
  <c r="T32" i="17" s="1"/>
  <c r="T36" i="17"/>
  <c r="T33" i="17" l="1"/>
  <c r="T41" i="17"/>
  <c r="U13" i="17"/>
  <c r="U18" i="17" l="1"/>
  <c r="U20" i="17"/>
  <c r="T42" i="17"/>
  <c r="U23" i="17" l="1"/>
  <c r="U21" i="17"/>
  <c r="T45" i="17"/>
  <c r="T46" i="17"/>
  <c r="T47" i="17" l="1"/>
  <c r="T49" i="17" s="1"/>
  <c r="T50" i="17" s="1"/>
  <c r="U24" i="17"/>
  <c r="U35" i="17" s="1"/>
  <c r="U26" i="17" l="1"/>
  <c r="U28" i="17" s="1"/>
  <c r="U29" i="17" s="1"/>
  <c r="U31" i="17" s="1"/>
  <c r="U36" i="17" l="1"/>
  <c r="U32" i="17"/>
  <c r="U33" i="17"/>
  <c r="U41" i="17" l="1"/>
  <c r="V13" i="17"/>
  <c r="V20" i="17" l="1"/>
  <c r="V18" i="17"/>
  <c r="U42" i="17"/>
  <c r="U45" i="17" l="1"/>
  <c r="U46" i="17"/>
  <c r="V21" i="17"/>
  <c r="V23" i="17"/>
  <c r="V24" i="17" l="1"/>
  <c r="U47" i="17"/>
  <c r="U49" i="17" s="1"/>
  <c r="U50" i="17" s="1"/>
  <c r="V26" i="17" l="1"/>
  <c r="V28" i="17" s="1"/>
  <c r="V29" i="17" s="1"/>
  <c r="V31" i="17" s="1"/>
  <c r="V32" i="17" s="1"/>
  <c r="V35" i="17"/>
  <c r="V36" i="17" s="1"/>
  <c r="V33" i="17" l="1"/>
  <c r="V41" i="17"/>
  <c r="W13" i="17"/>
  <c r="V42" i="17" l="1"/>
  <c r="W20" i="17"/>
  <c r="W18" i="17"/>
  <c r="W23" i="17" l="1"/>
  <c r="W21" i="17"/>
  <c r="V46" i="17"/>
  <c r="V45" i="17"/>
  <c r="W24" i="17" l="1"/>
  <c r="V47" i="17"/>
  <c r="V49" i="17" s="1"/>
  <c r="V50" i="17" s="1"/>
  <c r="W26" i="17" l="1"/>
  <c r="W28" i="17" s="1"/>
  <c r="W29" i="17" s="1"/>
  <c r="W31" i="17" s="1"/>
  <c r="W32" i="17" s="1"/>
  <c r="W35" i="17"/>
  <c r="W36" i="17" s="1"/>
  <c r="W33" i="17" l="1"/>
  <c r="W41" i="17"/>
  <c r="X13" i="17"/>
  <c r="X20" i="17" l="1"/>
  <c r="X18" i="17"/>
  <c r="W42" i="17"/>
  <c r="W46" i="17" l="1"/>
  <c r="W45" i="17"/>
  <c r="X23" i="17"/>
  <c r="X21" i="17"/>
  <c r="W47" i="17" l="1"/>
  <c r="W49" i="17" s="1"/>
  <c r="W50" i="17" s="1"/>
  <c r="X24" i="17"/>
  <c r="X35" i="17" s="1"/>
  <c r="X26" i="17" l="1"/>
  <c r="X28" i="17" s="1"/>
  <c r="X29" i="17" s="1"/>
  <c r="X31" i="17" s="1"/>
  <c r="X32" i="17" l="1"/>
  <c r="X36" i="17"/>
  <c r="X33" i="17"/>
  <c r="X41" i="17" l="1"/>
  <c r="Y13" i="17"/>
  <c r="Y20" i="17" l="1"/>
  <c r="Y18" i="17"/>
  <c r="X42" i="17"/>
  <c r="X46" i="17" l="1"/>
  <c r="X45" i="17"/>
  <c r="Y23" i="17"/>
  <c r="Y21" i="17"/>
  <c r="X47" i="17" l="1"/>
  <c r="X49" i="17" s="1"/>
  <c r="X50" i="17" s="1"/>
  <c r="Y24" i="17"/>
  <c r="Y35" i="17" s="1"/>
  <c r="Y26" i="17" l="1"/>
  <c r="Y28" i="17" s="1"/>
  <c r="Y29" i="17" s="1"/>
  <c r="Y31" i="17" s="1"/>
  <c r="Y32" i="17" l="1"/>
  <c r="Y36" i="17"/>
  <c r="Y33" i="17"/>
  <c r="Y41" i="17" l="1"/>
  <c r="Z13" i="17"/>
  <c r="Z20" i="17" l="1"/>
  <c r="Z18" i="17"/>
  <c r="Y42" i="17"/>
  <c r="Y45" i="17" l="1"/>
  <c r="Y46" i="17"/>
  <c r="Z23" i="17"/>
  <c r="Z21" i="17"/>
  <c r="Z24" i="17" l="1"/>
  <c r="Y47" i="17"/>
  <c r="Y49" i="17" s="1"/>
  <c r="Y50" i="17" s="1"/>
  <c r="Z26" i="17" l="1"/>
  <c r="Z28" i="17" s="1"/>
  <c r="Z29" i="17" s="1"/>
  <c r="Z31" i="17" s="1"/>
  <c r="Z32" i="17" s="1"/>
  <c r="Z35" i="17"/>
  <c r="Z36" i="17" s="1"/>
  <c r="Z33" i="17" l="1"/>
  <c r="Z41" i="17"/>
  <c r="AA13" i="17"/>
  <c r="AA20" i="17" l="1"/>
  <c r="AA18" i="17"/>
  <c r="Z42" i="17"/>
  <c r="Z45" i="17" l="1"/>
  <c r="Z46" i="17"/>
  <c r="AA23" i="17"/>
  <c r="AA21" i="17"/>
  <c r="AA24" i="17" l="1"/>
  <c r="AA35" i="17" s="1"/>
  <c r="Z47" i="17"/>
  <c r="Z49" i="17" s="1"/>
  <c r="Z50" i="17" s="1"/>
  <c r="AA26" i="17" l="1"/>
  <c r="AA28" i="17" s="1"/>
  <c r="AA29" i="17" s="1"/>
  <c r="AA31" i="17" s="1"/>
  <c r="AA32" i="17" l="1"/>
  <c r="AA36" i="17"/>
  <c r="AA33" i="17"/>
  <c r="AA41" i="17" l="1"/>
  <c r="AB13" i="17"/>
  <c r="AB18" i="17" l="1"/>
  <c r="AB20" i="17"/>
  <c r="AA42" i="17"/>
  <c r="AB23" i="17" l="1"/>
  <c r="AB21" i="17"/>
  <c r="AA45" i="17"/>
  <c r="AA46" i="17"/>
  <c r="AA47" i="17" l="1"/>
  <c r="AA49" i="17" s="1"/>
  <c r="AA50" i="17" s="1"/>
  <c r="AB24" i="17"/>
  <c r="AB35" i="17" s="1"/>
  <c r="AB26" i="17" l="1"/>
  <c r="AB28" i="17" s="1"/>
  <c r="AB29" i="17" s="1"/>
  <c r="AB31" i="17" s="1"/>
  <c r="AB32" i="17" s="1"/>
  <c r="AB36" i="17"/>
  <c r="AB33" i="17" l="1"/>
  <c r="AB41" i="17"/>
  <c r="AC13" i="17"/>
  <c r="AC20" i="17" l="1"/>
  <c r="AC18" i="17"/>
  <c r="AB42" i="17"/>
  <c r="AB45" i="17" l="1"/>
  <c r="AB46" i="17"/>
  <c r="AC23" i="17"/>
  <c r="AC21" i="17"/>
  <c r="AC24" i="17" l="1"/>
  <c r="AC35" i="17" s="1"/>
  <c r="AB47" i="17"/>
  <c r="AB49" i="17" s="1"/>
  <c r="AB50" i="17" s="1"/>
  <c r="AC26" i="17" l="1"/>
  <c r="AC28" i="17" s="1"/>
  <c r="AC29" i="17" s="1"/>
  <c r="AC31" i="17" s="1"/>
  <c r="AC32" i="17" s="1"/>
  <c r="AC36" i="17"/>
  <c r="AC33" i="17" l="1"/>
  <c r="AC41" i="17"/>
  <c r="AD13" i="17"/>
  <c r="AD20" i="17" l="1"/>
  <c r="AD18" i="17"/>
  <c r="AC42" i="17"/>
  <c r="AC45" i="17" l="1"/>
  <c r="AC46" i="17"/>
  <c r="AD23" i="17"/>
  <c r="AD21" i="17"/>
  <c r="AD24" i="17" l="1"/>
  <c r="AC47" i="17"/>
  <c r="AC49" i="17" s="1"/>
  <c r="AC50" i="17" s="1"/>
  <c r="AD26" i="17" l="1"/>
  <c r="AD28" i="17" s="1"/>
  <c r="AD29" i="17" s="1"/>
  <c r="AD31" i="17" s="1"/>
  <c r="AD32" i="17" s="1"/>
  <c r="AD35" i="17"/>
  <c r="AD36" i="17" s="1"/>
  <c r="AD33" i="17" l="1"/>
  <c r="AD41" i="17"/>
  <c r="AE13" i="17"/>
  <c r="AD42" i="17" l="1"/>
  <c r="AE18" i="17"/>
  <c r="AE20" i="17"/>
  <c r="AE23" i="17" l="1"/>
  <c r="AE21" i="17"/>
  <c r="AD46" i="17"/>
  <c r="AD45" i="17"/>
  <c r="AD47" i="17" l="1"/>
  <c r="AD49" i="17" s="1"/>
  <c r="AD50" i="17" s="1"/>
  <c r="AE24" i="17"/>
  <c r="AE26" i="17" l="1"/>
  <c r="AE28" i="17" s="1"/>
  <c r="AE29" i="17" s="1"/>
  <c r="AE31" i="17" s="1"/>
  <c r="AE32" i="17" s="1"/>
  <c r="AE35" i="17"/>
  <c r="AE36" i="17" s="1"/>
  <c r="AE41" i="17" s="1"/>
  <c r="AE33" i="17" l="1"/>
  <c r="AE42" i="17"/>
  <c r="AE46" i="17" l="1"/>
  <c r="AE45" i="17"/>
  <c r="AE47" i="17" l="1"/>
  <c r="AE49" i="17" s="1"/>
  <c r="AE50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TREBOSC</author>
  </authors>
  <commentList>
    <comment ref="C7" authorId="0" shapeId="0" xr:uid="{234EC4E3-1F69-4DA8-954B-29C7330394AA}">
      <text>
        <r>
          <rPr>
            <b/>
            <sz val="9"/>
            <color indexed="81"/>
            <rFont val="Tahoma"/>
            <family val="2"/>
          </rPr>
          <t xml:space="preserve">Rendement est sur le montant initial !
</t>
        </r>
      </text>
    </comment>
    <comment ref="B8" authorId="0" shapeId="0" xr:uid="{8D514955-A609-4683-B71D-9EE4F9EB70BC}">
      <text>
        <r>
          <rPr>
            <sz val="9"/>
            <color indexed="81"/>
            <rFont val="Tahoma"/>
            <family val="2"/>
          </rPr>
          <t>A priori quand on est à l'étranger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TREBOSC</author>
  </authors>
  <commentList>
    <comment ref="C21" authorId="0" shapeId="0" xr:uid="{B9DDDD97-1FA4-4B94-9E5A-D7613A137781}">
      <text>
        <r>
          <rPr>
            <b/>
            <sz val="9"/>
            <color indexed="81"/>
            <rFont val="Tahoma"/>
            <family val="2"/>
          </rPr>
          <t xml:space="preserve">Rendement est sur le montant initial !
</t>
        </r>
      </text>
    </comment>
    <comment ref="B22" authorId="0" shapeId="0" xr:uid="{5DED66F4-E374-4DF5-9F9D-CDB5145A3C6B}">
      <text>
        <r>
          <rPr>
            <sz val="9"/>
            <color indexed="81"/>
            <rFont val="Tahoma"/>
            <family val="2"/>
          </rPr>
          <t>A priori quand on est à l'étranger</t>
        </r>
      </text>
    </comment>
  </commentList>
</comments>
</file>

<file path=xl/sharedStrings.xml><?xml version="1.0" encoding="utf-8"?>
<sst xmlns="http://schemas.openxmlformats.org/spreadsheetml/2006/main" count="240" uniqueCount="90">
  <si>
    <t>Apport</t>
  </si>
  <si>
    <t>Prêt</t>
  </si>
  <si>
    <t>Calculateur de prêt simple</t>
  </si>
  <si>
    <t>Entrez des valeurs</t>
  </si>
  <si>
    <t>Coût assurance annuel</t>
  </si>
  <si>
    <t>Montant du prêt</t>
  </si>
  <si>
    <t>Mensualité hors assurance/Avec</t>
  </si>
  <si>
    <t>Taux d’intérêt annuel</t>
  </si>
  <si>
    <t>Durée du prêt en années</t>
  </si>
  <si>
    <t>Mensualité annuelle sans assurance</t>
  </si>
  <si>
    <t>Date de début du prêt</t>
  </si>
  <si>
    <t>Assurance David</t>
  </si>
  <si>
    <t>Assurance Corinne</t>
  </si>
  <si>
    <t>Paiement mensuel</t>
  </si>
  <si>
    <t>Mensualité annuelle assurance</t>
  </si>
  <si>
    <t>Nombre de paiements</t>
  </si>
  <si>
    <t>Mensualité annuelle avec assurance</t>
  </si>
  <si>
    <t>Total des intérêts</t>
  </si>
  <si>
    <t>Part intérêts</t>
  </si>
  <si>
    <t>Coût total du prêt</t>
  </si>
  <si>
    <t>Capital restant du</t>
  </si>
  <si>
    <t>N°</t>
  </si>
  <si>
    <t>Paiement
Date</t>
  </si>
  <si>
    <t>Solde 
Départ</t>
  </si>
  <si>
    <t>Paiement</t>
  </si>
  <si>
    <t>Capital</t>
  </si>
  <si>
    <t>Intérêts</t>
  </si>
  <si>
    <t>Solde 
Final</t>
  </si>
  <si>
    <t>David</t>
  </si>
  <si>
    <t>Surcoût</t>
  </si>
  <si>
    <t>Corinne</t>
  </si>
  <si>
    <t>Durée</t>
  </si>
  <si>
    <t>Taux</t>
  </si>
  <si>
    <t>Part</t>
  </si>
  <si>
    <t>Evolution part</t>
  </si>
  <si>
    <t>Frais souscription</t>
  </si>
  <si>
    <t>Prix de la part</t>
  </si>
  <si>
    <t>Coût de la part</t>
  </si>
  <si>
    <t>Rendement</t>
  </si>
  <si>
    <t>Moyenne</t>
  </si>
  <si>
    <t xml:space="preserve">Evolution du prix de la part </t>
  </si>
  <si>
    <t>Gain annuel</t>
  </si>
  <si>
    <t>RDS</t>
  </si>
  <si>
    <t>Taux TMI</t>
  </si>
  <si>
    <t>Coût RDS</t>
  </si>
  <si>
    <t>Reste après RDS</t>
  </si>
  <si>
    <t>Nb part</t>
  </si>
  <si>
    <t>Somme allouée pour l'achat</t>
  </si>
  <si>
    <t>Base Impôts</t>
  </si>
  <si>
    <t>Coût impôts</t>
  </si>
  <si>
    <t>Reste après impôts</t>
  </si>
  <si>
    <t>Reste après crédit</t>
  </si>
  <si>
    <t>Revente</t>
  </si>
  <si>
    <t>Reste après crédit cumulé (Effort épargne)</t>
  </si>
  <si>
    <t>Frais de session</t>
  </si>
  <si>
    <t>Argent investi</t>
  </si>
  <si>
    <t>Reste après Retrait du prêt à rembourser</t>
  </si>
  <si>
    <t>Gain restant après retrait effort épargne</t>
  </si>
  <si>
    <t>Gain année</t>
  </si>
  <si>
    <t>Taux rendement virtuel</t>
  </si>
  <si>
    <t>Somme placée</t>
  </si>
  <si>
    <t>Somme fin année</t>
  </si>
  <si>
    <t>Plus-values</t>
  </si>
  <si>
    <t>Abattement Impôt revenu</t>
  </si>
  <si>
    <t>Abattement prélèveement social</t>
  </si>
  <si>
    <t>Coût impots Revenu</t>
  </si>
  <si>
    <t>Coût impots Prélèvement sociaux</t>
  </si>
  <si>
    <t>Coûts impots</t>
  </si>
  <si>
    <t>Reste SCPI étranger</t>
  </si>
  <si>
    <t>Impots</t>
  </si>
  <si>
    <t>Cumul</t>
  </si>
  <si>
    <t>Gain restant</t>
  </si>
  <si>
    <t>Frais gestion</t>
  </si>
  <si>
    <t>Impôts</t>
  </si>
  <si>
    <t>Frais entrée</t>
  </si>
  <si>
    <t>Montant versé</t>
  </si>
  <si>
    <t>Reste SCPI AV</t>
  </si>
  <si>
    <t>Impots vente</t>
  </si>
  <si>
    <t>Rendement SCPI</t>
  </si>
  <si>
    <t>SCPI Corum Origin</t>
  </si>
  <si>
    <t>Nb Part</t>
  </si>
  <si>
    <t>Achat de part avec les revenus</t>
  </si>
  <si>
    <t>Nouveau nombre de part</t>
  </si>
  <si>
    <t>Somme investie</t>
  </si>
  <si>
    <t>Investissement annuel</t>
  </si>
  <si>
    <t>TMI</t>
  </si>
  <si>
    <t>Frais de gestion</t>
  </si>
  <si>
    <t>Coût Gestion</t>
  </si>
  <si>
    <t>Reste après Gestion</t>
  </si>
  <si>
    <t>SCPI via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</si>
</sst>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2"/>
      <scheme val="major"/>
    </font>
    <font>
      <i/>
      <sz val="11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/>
      <diagonal/>
    </border>
    <border>
      <left/>
      <right style="hair">
        <color rgb="FF7F7F7F"/>
      </right>
      <top/>
      <bottom/>
      <diagonal/>
    </border>
    <border>
      <left style="hair">
        <color rgb="FF7F7F7F"/>
      </left>
      <right style="hair">
        <color rgb="FF7F7F7F"/>
      </right>
      <top style="hair">
        <color rgb="FF7F7F7F"/>
      </top>
      <bottom style="hair">
        <color rgb="FF7F7F7F"/>
      </bottom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1" applyNumberFormat="0" applyFill="0" applyProtection="0">
      <alignment horizontal="left"/>
    </xf>
    <xf numFmtId="0" fontId="5" fillId="0" borderId="0">
      <alignment horizontal="right"/>
    </xf>
    <xf numFmtId="44" fontId="5" fillId="0" borderId="0" applyFont="0" applyFill="0" applyBorder="0" applyAlignment="0" applyProtection="0"/>
    <xf numFmtId="0" fontId="5" fillId="0" borderId="0" applyNumberFormat="0" applyFill="0" applyProtection="0">
      <alignment horizontal="right" indent="1"/>
    </xf>
    <xf numFmtId="0" fontId="5" fillId="0" borderId="0" applyNumberFormat="0" applyFont="0" applyFill="0" applyBorder="0" applyProtection="0">
      <alignment horizontal="left" indent="5"/>
    </xf>
    <xf numFmtId="10" fontId="5" fillId="0" borderId="0" applyFont="0" applyFill="0" applyBorder="0" applyAlignment="0" applyProtection="0"/>
    <xf numFmtId="14" fontId="5" fillId="0" borderId="0" applyFont="0" applyFill="0" applyBorder="0">
      <alignment horizontal="right"/>
    </xf>
    <xf numFmtId="1" fontId="5" fillId="0" borderId="0" applyFont="0" applyFill="0" applyBorder="0" applyProtection="0">
      <alignment horizontal="right"/>
    </xf>
    <xf numFmtId="0" fontId="5" fillId="0" borderId="0" applyNumberFormat="0" applyFont="0" applyFill="0" applyBorder="0" applyProtection="0">
      <alignment horizontal="center" wrapText="1"/>
    </xf>
  </cellStyleXfs>
  <cellXfs count="81">
    <xf numFmtId="0" fontId="0" fillId="0" borderId="0" xfId="0"/>
    <xf numFmtId="164" fontId="0" fillId="0" borderId="0" xfId="1" applyNumberFormat="1" applyFont="1"/>
    <xf numFmtId="0" fontId="0" fillId="2" borderId="0" xfId="0" applyFill="1"/>
    <xf numFmtId="0" fontId="0" fillId="0" borderId="0" xfId="0" applyFont="1"/>
    <xf numFmtId="164" fontId="1" fillId="0" borderId="0" xfId="1" applyNumberFormat="1" applyFont="1"/>
    <xf numFmtId="164" fontId="4" fillId="0" borderId="0" xfId="1" applyNumberFormat="1" applyFont="1" applyFill="1"/>
    <xf numFmtId="6" fontId="0" fillId="0" borderId="0" xfId="0" applyNumberFormat="1"/>
    <xf numFmtId="0" fontId="7" fillId="0" borderId="1" xfId="4" applyFill="1">
      <alignment horizontal="left"/>
    </xf>
    <xf numFmtId="0" fontId="7" fillId="0" borderId="1" xfId="4">
      <alignment horizontal="left"/>
    </xf>
    <xf numFmtId="0" fontId="7" fillId="0" borderId="0" xfId="4" applyBorder="1">
      <alignment horizontal="left"/>
    </xf>
    <xf numFmtId="0" fontId="5" fillId="0" borderId="0" xfId="5" applyBorder="1">
      <alignment horizontal="right"/>
    </xf>
    <xf numFmtId="0" fontId="8" fillId="0" borderId="0" xfId="5" applyFont="1">
      <alignment horizontal="right"/>
    </xf>
    <xf numFmtId="164" fontId="9" fillId="0" borderId="0" xfId="1" applyNumberFormat="1" applyFont="1" applyBorder="1" applyAlignment="1">
      <alignment horizontal="right"/>
    </xf>
    <xf numFmtId="164" fontId="2" fillId="0" borderId="0" xfId="6" applyNumberFormat="1" applyFont="1" applyAlignment="1">
      <alignment horizontal="right"/>
    </xf>
    <xf numFmtId="0" fontId="2" fillId="0" borderId="0" xfId="5" applyFont="1">
      <alignment horizontal="right"/>
    </xf>
    <xf numFmtId="0" fontId="5" fillId="0" borderId="0" xfId="5">
      <alignment horizontal="right"/>
    </xf>
    <xf numFmtId="164" fontId="2" fillId="0" borderId="0" xfId="6" applyNumberFormat="1" applyFont="1" applyFill="1" applyAlignment="1">
      <alignment horizontal="right"/>
    </xf>
    <xf numFmtId="164" fontId="2" fillId="0" borderId="4" xfId="6" applyNumberFormat="1" applyFont="1" applyFill="1" applyBorder="1" applyAlignment="1">
      <alignment horizontal="right"/>
    </xf>
    <xf numFmtId="164" fontId="9" fillId="0" borderId="0" xfId="6" applyNumberFormat="1" applyFont="1" applyAlignment="1">
      <alignment horizontal="right"/>
    </xf>
    <xf numFmtId="10" fontId="2" fillId="0" borderId="4" xfId="3" applyNumberFormat="1" applyFont="1" applyFill="1" applyBorder="1" applyAlignment="1">
      <alignment horizontal="right"/>
    </xf>
    <xf numFmtId="10" fontId="0" fillId="0" borderId="0" xfId="9" applyFont="1" applyFill="1" applyAlignment="1">
      <alignment horizontal="right"/>
    </xf>
    <xf numFmtId="43" fontId="2" fillId="0" borderId="0" xfId="2" applyFont="1" applyBorder="1" applyAlignment="1">
      <alignment horizontal="right"/>
    </xf>
    <xf numFmtId="164" fontId="6" fillId="0" borderId="0" xfId="6" applyNumberFormat="1" applyFont="1" applyAlignment="1">
      <alignment horizontal="right"/>
    </xf>
    <xf numFmtId="14" fontId="0" fillId="0" borderId="4" xfId="10" applyFont="1" applyBorder="1">
      <alignment horizontal="right"/>
    </xf>
    <xf numFmtId="164" fontId="8" fillId="0" borderId="0" xfId="6" applyNumberFormat="1" applyFont="1" applyAlignment="1">
      <alignment horizontal="right"/>
    </xf>
    <xf numFmtId="0" fontId="0" fillId="0" borderId="0" xfId="8" applyFont="1">
      <alignment horizontal="left" indent="5"/>
    </xf>
    <xf numFmtId="164" fontId="10" fillId="0" borderId="0" xfId="6" applyNumberFormat="1" applyFont="1" applyAlignment="1">
      <alignment horizontal="right"/>
    </xf>
    <xf numFmtId="44" fontId="2" fillId="3" borderId="6" xfId="6" applyFont="1" applyFill="1" applyBorder="1" applyAlignment="1">
      <alignment horizontal="right"/>
    </xf>
    <xf numFmtId="164" fontId="9" fillId="2" borderId="0" xfId="6" applyNumberFormat="1" applyFont="1" applyFill="1" applyAlignment="1">
      <alignment horizontal="right"/>
    </xf>
    <xf numFmtId="1" fontId="2" fillId="3" borderId="6" xfId="11" applyFont="1" applyFill="1" applyBorder="1">
      <alignment horizontal="right"/>
    </xf>
    <xf numFmtId="10" fontId="5" fillId="0" borderId="0" xfId="5" applyNumberFormat="1">
      <alignment horizontal="right"/>
    </xf>
    <xf numFmtId="164" fontId="11" fillId="0" borderId="0" xfId="6" applyNumberFormat="1" applyFont="1" applyAlignment="1">
      <alignment horizontal="right"/>
    </xf>
    <xf numFmtId="0" fontId="0" fillId="0" borderId="0" xfId="12" applyFont="1">
      <alignment horizontal="center" wrapText="1"/>
    </xf>
    <xf numFmtId="164" fontId="0" fillId="0" borderId="0" xfId="6" applyNumberFormat="1" applyFont="1" applyAlignment="1">
      <alignment horizontal="right"/>
    </xf>
    <xf numFmtId="1" fontId="0" fillId="0" borderId="0" xfId="11" applyFont="1">
      <alignment horizontal="right"/>
    </xf>
    <xf numFmtId="14" fontId="0" fillId="0" borderId="0" xfId="10" applyFont="1">
      <alignment horizontal="right"/>
    </xf>
    <xf numFmtId="44" fontId="0" fillId="0" borderId="0" xfId="6" applyFont="1" applyAlignment="1">
      <alignment horizontal="right"/>
    </xf>
    <xf numFmtId="164" fontId="5" fillId="0" borderId="0" xfId="5" applyNumberFormat="1">
      <alignment horizontal="right"/>
    </xf>
    <xf numFmtId="10" fontId="0" fillId="0" borderId="0" xfId="3" applyNumberFormat="1" applyFont="1" applyBorder="1" applyAlignment="1">
      <alignment horizontal="right"/>
    </xf>
    <xf numFmtId="164" fontId="0" fillId="0" borderId="0" xfId="6" applyNumberFormat="1" applyFont="1" applyAlignment="1">
      <alignment horizontal="right" wrapText="1"/>
    </xf>
    <xf numFmtId="165" fontId="2" fillId="0" borderId="4" xfId="2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10" fontId="0" fillId="0" borderId="0" xfId="0" applyNumberFormat="1"/>
    <xf numFmtId="9" fontId="0" fillId="0" borderId="0" xfId="0" applyNumberFormat="1"/>
    <xf numFmtId="165" fontId="3" fillId="0" borderId="0" xfId="2" applyNumberFormat="1" applyFont="1"/>
    <xf numFmtId="43" fontId="0" fillId="0" borderId="0" xfId="2" applyFont="1"/>
    <xf numFmtId="9" fontId="0" fillId="0" borderId="0" xfId="3" applyFont="1"/>
    <xf numFmtId="10" fontId="0" fillId="0" borderId="0" xfId="3" applyNumberFormat="1" applyFont="1"/>
    <xf numFmtId="44" fontId="0" fillId="0" borderId="0" xfId="1" applyFont="1"/>
    <xf numFmtId="6" fontId="0" fillId="0" borderId="0" xfId="1" applyNumberFormat="1" applyFont="1"/>
    <xf numFmtId="0" fontId="0" fillId="0" borderId="7" xfId="0" applyBorder="1"/>
    <xf numFmtId="0" fontId="0" fillId="0" borderId="8" xfId="0" applyBorder="1"/>
    <xf numFmtId="165" fontId="0" fillId="0" borderId="8" xfId="2" applyNumberFormat="1" applyFont="1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0" xfId="1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0" fillId="0" borderId="13" xfId="1" applyNumberFormat="1" applyFont="1" applyBorder="1"/>
    <xf numFmtId="10" fontId="0" fillId="0" borderId="13" xfId="3" applyNumberFormat="1" applyFont="1" applyBorder="1"/>
    <xf numFmtId="10" fontId="0" fillId="0" borderId="14" xfId="0" applyNumberFormat="1" applyBorder="1"/>
    <xf numFmtId="164" fontId="0" fillId="0" borderId="0" xfId="3" applyNumberFormat="1" applyFont="1"/>
    <xf numFmtId="10" fontId="0" fillId="2" borderId="0" xfId="3" applyNumberFormat="1" applyFont="1" applyFill="1"/>
    <xf numFmtId="164" fontId="12" fillId="0" borderId="0" xfId="0" applyNumberFormat="1" applyFont="1"/>
    <xf numFmtId="0" fontId="12" fillId="0" borderId="0" xfId="0" applyFont="1"/>
    <xf numFmtId="44" fontId="0" fillId="0" borderId="0" xfId="0" applyNumberFormat="1"/>
    <xf numFmtId="10" fontId="0" fillId="2" borderId="0" xfId="0" applyNumberFormat="1" applyFill="1"/>
    <xf numFmtId="9" fontId="0" fillId="2" borderId="0" xfId="0" applyNumberFormat="1" applyFill="1"/>
    <xf numFmtId="43" fontId="0" fillId="0" borderId="0" xfId="1" applyNumberFormat="1" applyFont="1"/>
    <xf numFmtId="0" fontId="3" fillId="0" borderId="0" xfId="0" applyFont="1"/>
    <xf numFmtId="0" fontId="5" fillId="0" borderId="0" xfId="8">
      <alignment horizontal="left" indent="5"/>
    </xf>
    <xf numFmtId="0" fontId="5" fillId="0" borderId="5" xfId="8" applyBorder="1">
      <alignment horizontal="left" indent="5"/>
    </xf>
    <xf numFmtId="0" fontId="5" fillId="0" borderId="2" xfId="7" applyBorder="1">
      <alignment horizontal="right" indent="1"/>
    </xf>
    <xf numFmtId="0" fontId="5" fillId="0" borderId="0" xfId="7" applyBorder="1">
      <alignment horizontal="right" indent="1"/>
    </xf>
    <xf numFmtId="0" fontId="0" fillId="0" borderId="0" xfId="8" applyFont="1">
      <alignment horizontal="left" indent="5"/>
    </xf>
    <xf numFmtId="0" fontId="0" fillId="0" borderId="3" xfId="8" applyFont="1" applyBorder="1">
      <alignment horizontal="left" indent="5"/>
    </xf>
    <xf numFmtId="0" fontId="5" fillId="0" borderId="3" xfId="8" applyBorder="1">
      <alignment horizontal="left" indent="5"/>
    </xf>
    <xf numFmtId="6" fontId="0" fillId="0" borderId="0" xfId="2" applyNumberFormat="1" applyFont="1"/>
  </cellXfs>
  <cellStyles count="13">
    <cellStyle name="Date" xfId="10" xr:uid="{E5238A44-62F7-4559-9F03-45EFAD3AF77F}"/>
    <cellStyle name="Milliers" xfId="2" builtinId="3"/>
    <cellStyle name="Milliers 2" xfId="11" xr:uid="{8A837054-7775-4317-9DB1-A76B08FBC26A}"/>
    <cellStyle name="Monétaire" xfId="1" builtinId="4"/>
    <cellStyle name="Monétaire 2" xfId="6" xr:uid="{A366DD41-2DAE-4B6D-ACE0-10A297A0B81F}"/>
    <cellStyle name="Normal" xfId="0" builtinId="0"/>
    <cellStyle name="Normal 2" xfId="5" xr:uid="{228FA7F4-71BF-466D-9E29-41362D0CEE9C}"/>
    <cellStyle name="Pourcentage" xfId="3" builtinId="5"/>
    <cellStyle name="Pourcentage 2" xfId="9" xr:uid="{197FC21A-992D-489C-8DB9-3BB519BA8182}"/>
    <cellStyle name="Titre 2" xfId="4" xr:uid="{351EF22C-97FD-4D55-8CEA-59295F4AC769}"/>
    <cellStyle name="Titre 1 2" xfId="7" xr:uid="{B716BB9A-2F97-483C-B23E-3F49C715F9B2}"/>
    <cellStyle name="Titre 2 2" xfId="8" xr:uid="{97D8D2F3-DACE-4171-99CA-06FD7CA19066}"/>
    <cellStyle name="Titre 3 2" xfId="12" xr:uid="{1F20027F-AED8-4DC9-A717-2D5C752886E9}"/>
  </cellStyles>
  <dxfs count="15"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right" vertical="bottom" textRotation="0" wrapText="0" indent="0" justifyLastLine="0" shrinkToFit="0" readingOrder="0"/>
      <protection locked="1" hidden="0"/>
    </dxf>
    <dxf>
      <numFmt numFmtId="0" formatCode="General"/>
      <alignment horizontal="right" vertical="bottom" textRotation="0" wrapText="0" indent="0" justifyLastLine="0" shrinkToFit="0" readingOrder="0"/>
    </dxf>
    <dxf>
      <border outline="0">
        <bottom style="thin">
          <color indexed="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1.xml"/><Relationship Id="rId16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Gain sur revente
Par année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Crédit!$C$1</c:f>
              <c:strCache>
                <c:ptCount val="1"/>
                <c:pt idx="0">
                  <c:v>SCPI - prêt 2,6%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Crédit!$C$45:$AE$45</c:f>
              <c:numCache>
                <c:formatCode>_-* #\ ##0\ "€"_-;\-* #\ ##0\ "€"_-;_-* "-"??\ "€"_-;_-@_-</c:formatCode>
                <c:ptCount val="29"/>
                <c:pt idx="0">
                  <c:v>-4352.3331269278824</c:v>
                </c:pt>
                <c:pt idx="1">
                  <c:v>-2422.3603893172367</c:v>
                </c:pt>
                <c:pt idx="2">
                  <c:v>-378.75203376483114</c:v>
                </c:pt>
                <c:pt idx="3">
                  <c:v>1780.9614187090992</c:v>
                </c:pt>
                <c:pt idx="4">
                  <c:v>3877.6774027045103</c:v>
                </c:pt>
                <c:pt idx="5">
                  <c:v>6095.6188375550591</c:v>
                </c:pt>
                <c:pt idx="6">
                  <c:v>8437.4396962080136</c:v>
                </c:pt>
                <c:pt idx="7">
                  <c:v>10905.858614912897</c:v>
                </c:pt>
                <c:pt idx="8">
                  <c:v>13503.660544788065</c:v>
                </c:pt>
                <c:pt idx="9">
                  <c:v>16233.698446362403</c:v>
                </c:pt>
                <c:pt idx="10">
                  <c:v>19098.895028218321</c:v>
                </c:pt>
                <c:pt idx="11">
                  <c:v>22102.244530891658</c:v>
                </c:pt>
                <c:pt idx="12">
                  <c:v>25246.814557214551</c:v>
                </c:pt>
                <c:pt idx="13">
                  <c:v>28535.747950318939</c:v>
                </c:pt>
                <c:pt idx="14">
                  <c:v>32424.158528046035</c:v>
                </c:pt>
                <c:pt idx="15">
                  <c:v>35945.922388873725</c:v>
                </c:pt>
                <c:pt idx="16">
                  <c:v>39503.413949450944</c:v>
                </c:pt>
                <c:pt idx="17">
                  <c:v>43096.977884929162</c:v>
                </c:pt>
                <c:pt idx="18">
                  <c:v>46726.962195637847</c:v>
                </c:pt>
                <c:pt idx="19">
                  <c:v>50393.718239163398</c:v>
                </c:pt>
                <c:pt idx="20">
                  <c:v>53257.552762737425</c:v>
                </c:pt>
                <c:pt idx="21">
                  <c:v>56158.871935937757</c:v>
                </c:pt>
                <c:pt idx="22">
                  <c:v>59098.037383704694</c:v>
                </c:pt>
                <c:pt idx="23">
                  <c:v>62075.414219675855</c:v>
                </c:pt>
                <c:pt idx="24">
                  <c:v>65091.371079842676</c:v>
                </c:pt>
                <c:pt idx="25">
                  <c:v>68146.280156531488</c:v>
                </c:pt>
                <c:pt idx="26">
                  <c:v>71240.517232712504</c:v>
                </c:pt>
                <c:pt idx="27">
                  <c:v>74374.461716639766</c:v>
                </c:pt>
                <c:pt idx="28">
                  <c:v>77548.496676825307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7-49C4-B649-22E63CC50F2C}"/>
            </c:ext>
          </c:extLst>
        </c:ser>
        <c:ser>
          <c:idx val="2"/>
          <c:order val="1"/>
          <c:tx>
            <c:strRef>
              <c:f>'Crédit réinvest'!$C$1</c:f>
              <c:strCache>
                <c:ptCount val="1"/>
                <c:pt idx="0">
                  <c:v>SCPI Reinvest- prêt 2,6%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'Crédit réinvest'!$C$45:$AE$45</c:f>
              <c:numCache>
                <c:formatCode>_-* #\ ##0\ "€"_-;\-* #\ ##0\ "€"_-;_-* "-"??\ "€"_-;_-@_-</c:formatCode>
                <c:ptCount val="29"/>
                <c:pt idx="0">
                  <c:v>-4352.3331269278824</c:v>
                </c:pt>
                <c:pt idx="1">
                  <c:v>-2422.3603893172367</c:v>
                </c:pt>
                <c:pt idx="2">
                  <c:v>-378.75203376483114</c:v>
                </c:pt>
                <c:pt idx="3">
                  <c:v>1780.9614187090992</c:v>
                </c:pt>
                <c:pt idx="4">
                  <c:v>3877.6774027045103</c:v>
                </c:pt>
                <c:pt idx="5">
                  <c:v>6095.6188375550591</c:v>
                </c:pt>
                <c:pt idx="6">
                  <c:v>8437.4396962080136</c:v>
                </c:pt>
                <c:pt idx="7">
                  <c:v>10905.858614912897</c:v>
                </c:pt>
                <c:pt idx="8">
                  <c:v>13503.660544788065</c:v>
                </c:pt>
                <c:pt idx="9">
                  <c:v>16233.698446362403</c:v>
                </c:pt>
                <c:pt idx="10">
                  <c:v>19098.895028218321</c:v>
                </c:pt>
                <c:pt idx="11">
                  <c:v>22102.244530891658</c:v>
                </c:pt>
                <c:pt idx="12">
                  <c:v>25246.814557214551</c:v>
                </c:pt>
                <c:pt idx="13">
                  <c:v>28535.747950318939</c:v>
                </c:pt>
                <c:pt idx="14">
                  <c:v>32101.818763445481</c:v>
                </c:pt>
                <c:pt idx="15">
                  <c:v>35431.857112504542</c:v>
                </c:pt>
                <c:pt idx="16">
                  <c:v>38936.132406980061</c:v>
                </c:pt>
                <c:pt idx="17">
                  <c:v>42623.289681892566</c:v>
                </c:pt>
                <c:pt idx="18">
                  <c:v>46502.402909020602</c:v>
                </c:pt>
                <c:pt idx="19">
                  <c:v>50582.99627926026</c:v>
                </c:pt>
                <c:pt idx="20">
                  <c:v>54035.018540941644</c:v>
                </c:pt>
                <c:pt idx="21">
                  <c:v>57709.010446495493</c:v>
                </c:pt>
                <c:pt idx="22">
                  <c:v>61615.985362462263</c:v>
                </c:pt>
                <c:pt idx="23">
                  <c:v>65767.503100564951</c:v>
                </c:pt>
                <c:pt idx="24">
                  <c:v>70175.697030430296</c:v>
                </c:pt>
                <c:pt idx="25">
                  <c:v>74853.30253754968</c:v>
                </c:pt>
                <c:pt idx="26">
                  <c:v>79813.686893225531</c:v>
                </c:pt>
                <c:pt idx="27">
                  <c:v>85070.880606561317</c:v>
                </c:pt>
                <c:pt idx="28">
                  <c:v>90639.610332028926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4-4B0D-AD80-591763EDB82A}"/>
            </c:ext>
          </c:extLst>
        </c:ser>
        <c:ser>
          <c:idx val="3"/>
          <c:order val="2"/>
          <c:tx>
            <c:strRef>
              <c:f>Comptant!$C$1</c:f>
              <c:strCache>
                <c:ptCount val="1"/>
                <c:pt idx="0">
                  <c:v>SCPI comptant Reinvest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Comptant!$B$45:$AE$45</c:f>
              <c:numCache>
                <c:formatCode>_-* #\ ##0\ "€"_-;\-* #\ ##0\ "€"_-;_-* "-"??\ "€"_-;_-@_-</c:formatCode>
                <c:ptCount val="30"/>
                <c:pt idx="0">
                  <c:v>-1200.7160362116992</c:v>
                </c:pt>
                <c:pt idx="1">
                  <c:v>-990.1058883544174</c:v>
                </c:pt>
                <c:pt idx="2">
                  <c:v>-659.77544616285013</c:v>
                </c:pt>
                <c:pt idx="3">
                  <c:v>-206.42832786783765</c:v>
                </c:pt>
                <c:pt idx="4">
                  <c:v>375.22215120586043</c:v>
                </c:pt>
                <c:pt idx="5">
                  <c:v>1142.6124505472217</c:v>
                </c:pt>
                <c:pt idx="6">
                  <c:v>1956.2606970707893</c:v>
                </c:pt>
                <c:pt idx="7">
                  <c:v>2891.8447775145178</c:v>
                </c:pt>
                <c:pt idx="8">
                  <c:v>3936.6827824352949</c:v>
                </c:pt>
                <c:pt idx="9">
                  <c:v>5136.6001491980278</c:v>
                </c:pt>
                <c:pt idx="10">
                  <c:v>6498.4749991061617</c:v>
                </c:pt>
                <c:pt idx="11">
                  <c:v>8029.5272794823104</c:v>
                </c:pt>
                <c:pt idx="12">
                  <c:v>9737.3359511682283</c:v>
                </c:pt>
                <c:pt idx="13">
                  <c:v>11629.857036840192</c:v>
                </c:pt>
                <c:pt idx="14">
                  <c:v>13715.442573081746</c:v>
                </c:pt>
                <c:pt idx="15">
                  <c:v>16207.393694909908</c:v>
                </c:pt>
                <c:pt idx="16">
                  <c:v>18823.806086900928</c:v>
                </c:pt>
                <c:pt idx="17">
                  <c:v>21570.855087107739</c:v>
                </c:pt>
                <c:pt idx="18">
                  <c:v>24455.022432513753</c:v>
                </c:pt>
                <c:pt idx="19">
                  <c:v>27483.111461488843</c:v>
                </c:pt>
                <c:pt idx="20">
                  <c:v>30662.263070538567</c:v>
                </c:pt>
                <c:pt idx="21">
                  <c:v>33923.604462772171</c:v>
                </c:pt>
                <c:pt idx="22">
                  <c:v>37351.370727371686</c:v>
                </c:pt>
                <c:pt idx="23">
                  <c:v>40953.819291293563</c:v>
                </c:pt>
                <c:pt idx="24">
                  <c:v>44739.617286479799</c:v>
                </c:pt>
                <c:pt idx="25">
                  <c:v>48717.861878003416</c:v>
                </c:pt>
                <c:pt idx="26">
                  <c:v>52898.101600826019</c:v>
                </c:pt>
                <c:pt idx="27">
                  <c:v>57290.358755211608</c:v>
                </c:pt>
                <c:pt idx="28">
                  <c:v>61905.152913323473</c:v>
                </c:pt>
                <c:pt idx="29">
                  <c:v>66753.525592137114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E-4520-8452-B27FDF1C4E23}"/>
            </c:ext>
          </c:extLst>
        </c:ser>
        <c:ser>
          <c:idx val="5"/>
          <c:order val="3"/>
          <c:tx>
            <c:strRef>
              <c:f>AV!$C$1</c:f>
              <c:strCache>
                <c:ptCount val="1"/>
                <c:pt idx="0">
                  <c:v>SCPI via AV</c:v>
                </c:pt>
              </c:strCache>
            </c:strRef>
          </c:tx>
          <c:spPr>
            <a:ln w="28575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AV!$B$50:$AE$50</c:f>
              <c:numCache>
                <c:formatCode>_-* #\ ##0\ "€"_-;\-* #\ ##0\ "€"_-;_-* "-"??\ "€"_-;_-@_-</c:formatCode>
                <c:ptCount val="30"/>
                <c:pt idx="0">
                  <c:v>-835.17578352886085</c:v>
                </c:pt>
                <c:pt idx="1">
                  <c:v>-741.03160940042289</c:v>
                </c:pt>
                <c:pt idx="2">
                  <c:v>-609.71406906909033</c:v>
                </c:pt>
                <c:pt idx="3">
                  <c:v>-441.77142974414892</c:v>
                </c:pt>
                <c:pt idx="4">
                  <c:v>-235.88848434418833</c:v>
                </c:pt>
                <c:pt idx="5">
                  <c:v>61.193777194508584</c:v>
                </c:pt>
                <c:pt idx="6">
                  <c:v>399.0165976393655</c:v>
                </c:pt>
                <c:pt idx="7">
                  <c:v>779.06998756657777</c:v>
                </c:pt>
                <c:pt idx="8">
                  <c:v>1202.9073703905524</c:v>
                </c:pt>
                <c:pt idx="9">
                  <c:v>1672.1483420529912</c:v>
                </c:pt>
                <c:pt idx="10">
                  <c:v>2188.4815503099635</c:v>
                </c:pt>
                <c:pt idx="11">
                  <c:v>2753.6676987669416</c:v>
                </c:pt>
                <c:pt idx="12">
                  <c:v>3369.5426810325371</c:v>
                </c:pt>
                <c:pt idx="13">
                  <c:v>4038.0208505917471</c:v>
                </c:pt>
                <c:pt idx="14">
                  <c:v>4761.0984322396107</c:v>
                </c:pt>
                <c:pt idx="15">
                  <c:v>6257.9223363345009</c:v>
                </c:pt>
                <c:pt idx="16">
                  <c:v>7087.4806966604956</c:v>
                </c:pt>
                <c:pt idx="17">
                  <c:v>7950.0980650276615</c:v>
                </c:pt>
                <c:pt idx="18">
                  <c:v>8847.1797901138198</c:v>
                </c:pt>
                <c:pt idx="19">
                  <c:v>9780.190962404653</c:v>
                </c:pt>
                <c:pt idx="20">
                  <c:v>10750.658953836464</c:v>
                </c:pt>
                <c:pt idx="21">
                  <c:v>11661.008065399947</c:v>
                </c:pt>
                <c:pt idx="22">
                  <c:v>12566.466287294395</c:v>
                </c:pt>
                <c:pt idx="23">
                  <c:v>13514.364176416988</c:v>
                </c:pt>
                <c:pt idx="24">
                  <c:v>14506.505856174917</c:v>
                </c:pt>
                <c:pt idx="25">
                  <c:v>15544.772143820606</c:v>
                </c:pt>
                <c:pt idx="26">
                  <c:v>16631.123810730787</c:v>
                </c:pt>
                <c:pt idx="27">
                  <c:v>17767.604981281096</c:v>
                </c:pt>
                <c:pt idx="28">
                  <c:v>18956.346676207941</c:v>
                </c:pt>
                <c:pt idx="29">
                  <c:v>20199.570506599703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DE-4520-8452-B27FDF1C4E23}"/>
            </c:ext>
          </c:extLst>
        </c:ser>
        <c:ser>
          <c:idx val="0"/>
          <c:order val="4"/>
          <c:tx>
            <c:strRef>
              <c:f>Livret!$A$1</c:f>
              <c:strCache>
                <c:ptCount val="1"/>
                <c:pt idx="0">
                  <c:v>Livret 1%</c:v>
                </c:pt>
              </c:strCache>
            </c:strRef>
          </c:tx>
          <c:spPr>
            <a:ln w="28575" cap="rnd" cmpd="dbl">
              <a:solidFill>
                <a:srgbClr val="92D05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Livret!$B$6:$AE$6</c:f>
              <c:numCache>
                <c:formatCode>_-* #\ ##0\ "€"_-;\-* #\ ##0\ "€"_-;_-* "-"??\ "€"_-;_-@_-</c:formatCode>
                <c:ptCount val="30"/>
                <c:pt idx="0">
                  <c:v>8236.9385228294359</c:v>
                </c:pt>
                <c:pt idx="1">
                  <c:v>10484.709481615337</c:v>
                </c:pt>
                <c:pt idx="2">
                  <c:v>12738.359018407084</c:v>
                </c:pt>
                <c:pt idx="3">
                  <c:v>14997.937509038356</c:v>
                </c:pt>
                <c:pt idx="4">
                  <c:v>17263.499744209137</c:v>
                </c:pt>
                <c:pt idx="5">
                  <c:v>19535.10511641009</c:v>
                </c:pt>
                <c:pt idx="6">
                  <c:v>21812.817812857542</c:v>
                </c:pt>
                <c:pt idx="7">
                  <c:v>24096.707014611802</c:v>
                </c:pt>
                <c:pt idx="8">
                  <c:v>26386.847102056348</c:v>
                </c:pt>
                <c:pt idx="9">
                  <c:v>28683.317866920239</c:v>
                </c:pt>
                <c:pt idx="10">
                  <c:v>30986.204731031146</c:v>
                </c:pt>
                <c:pt idx="11">
                  <c:v>33295.598971991392</c:v>
                </c:pt>
                <c:pt idx="12">
                  <c:v>35611.597955974808</c:v>
                </c:pt>
                <c:pt idx="13">
                  <c:v>37934.30537784745</c:v>
                </c:pt>
                <c:pt idx="14">
                  <c:v>40263.831508820935</c:v>
                </c:pt>
                <c:pt idx="15">
                  <c:v>40666.469823909145</c:v>
                </c:pt>
                <c:pt idx="16">
                  <c:v>41073.134522148233</c:v>
                </c:pt>
                <c:pt idx="17">
                  <c:v>41483.865867369714</c:v>
                </c:pt>
                <c:pt idx="18">
                  <c:v>41898.70452604341</c:v>
                </c:pt>
                <c:pt idx="19">
                  <c:v>42317.691571303847</c:v>
                </c:pt>
                <c:pt idx="20">
                  <c:v>42740.868487016887</c:v>
                </c:pt>
                <c:pt idx="21">
                  <c:v>43168.277171887057</c:v>
                </c:pt>
                <c:pt idx="22">
                  <c:v>43599.959943605929</c:v>
                </c:pt>
                <c:pt idx="23">
                  <c:v>44035.959543041987</c:v>
                </c:pt>
                <c:pt idx="24">
                  <c:v>44476.319138472405</c:v>
                </c:pt>
                <c:pt idx="25">
                  <c:v>44921.082329857127</c:v>
                </c:pt>
                <c:pt idx="26">
                  <c:v>45370.293153155697</c:v>
                </c:pt>
                <c:pt idx="27">
                  <c:v>45823.996084687256</c:v>
                </c:pt>
                <c:pt idx="28">
                  <c:v>46282.236045534126</c:v>
                </c:pt>
                <c:pt idx="29">
                  <c:v>46745.058405989468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4-4B0D-AD80-591763EDB82A}"/>
            </c:ext>
          </c:extLst>
        </c:ser>
        <c:ser>
          <c:idx val="6"/>
          <c:order val="5"/>
          <c:tx>
            <c:strRef>
              <c:f>Livret!$A$7</c:f>
              <c:strCache>
                <c:ptCount val="1"/>
                <c:pt idx="0">
                  <c:v>Livret 2%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Livret!$B$12:$AE$12</c:f>
              <c:numCache>
                <c:formatCode>_-* #\ ##0\ "€"_-;\-* #\ ##0\ "€"_-;_-* "-"??\ "€"_-;_-@_-</c:formatCode>
                <c:ptCount val="30"/>
                <c:pt idx="0">
                  <c:v>8318.4923695901234</c:v>
                </c:pt>
                <c:pt idx="1">
                  <c:v>10671.703410079706</c:v>
                </c:pt>
                <c:pt idx="2">
                  <c:v>13055.215191959622</c:v>
                </c:pt>
                <c:pt idx="3">
                  <c:v>15469.625236844504</c:v>
                </c:pt>
                <c:pt idx="4">
                  <c:v>17915.546966613081</c:v>
                </c:pt>
                <c:pt idx="5">
                  <c:v>20393.610165602808</c:v>
                </c:pt>
                <c:pt idx="6">
                  <c:v>22904.461456230725</c:v>
                </c:pt>
                <c:pt idx="7">
                  <c:v>25448.764788422861</c:v>
                </c:pt>
                <c:pt idx="8">
                  <c:v>28027.201943245174</c:v>
                </c:pt>
                <c:pt idx="9">
                  <c:v>30640.473051139972</c:v>
                </c:pt>
                <c:pt idx="10">
                  <c:v>33289.297125183111</c:v>
                </c:pt>
                <c:pt idx="11">
                  <c:v>35974.412609788691</c:v>
                </c:pt>
                <c:pt idx="12">
                  <c:v>38696.57794530008</c:v>
                </c:pt>
                <c:pt idx="13">
                  <c:v>41456.572148918109</c:v>
                </c:pt>
                <c:pt idx="14">
                  <c:v>44255.195412430046</c:v>
                </c:pt>
                <c:pt idx="15">
                  <c:v>45140.299320678649</c:v>
                </c:pt>
                <c:pt idx="16">
                  <c:v>46043.105307092221</c:v>
                </c:pt>
                <c:pt idx="17">
                  <c:v>46963.967413234066</c:v>
                </c:pt>
                <c:pt idx="18">
                  <c:v>47903.246761498747</c:v>
                </c:pt>
                <c:pt idx="19">
                  <c:v>48861.311696728721</c:v>
                </c:pt>
                <c:pt idx="20">
                  <c:v>49838.537930663297</c:v>
                </c:pt>
                <c:pt idx="21">
                  <c:v>50835.308689276564</c:v>
                </c:pt>
                <c:pt idx="22">
                  <c:v>51852.014863062097</c:v>
                </c:pt>
                <c:pt idx="23">
                  <c:v>52889.05516032334</c:v>
                </c:pt>
                <c:pt idx="24">
                  <c:v>53946.836263529804</c:v>
                </c:pt>
                <c:pt idx="25">
                  <c:v>55025.772988800396</c:v>
                </c:pt>
                <c:pt idx="26">
                  <c:v>56126.288448576401</c:v>
                </c:pt>
                <c:pt idx="27">
                  <c:v>57248.81421754793</c:v>
                </c:pt>
                <c:pt idx="28">
                  <c:v>58393.790501898889</c:v>
                </c:pt>
                <c:pt idx="29">
                  <c:v>59561.666311936868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DE-4520-8452-B27FDF1C4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874992"/>
        <c:axId val="847924176"/>
      </c:lineChart>
      <c:catAx>
        <c:axId val="847874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7924176"/>
        <c:crosses val="autoZero"/>
        <c:auto val="1"/>
        <c:lblAlgn val="ctr"/>
        <c:lblOffset val="100"/>
        <c:noMultiLvlLbl val="0"/>
      </c:catAx>
      <c:valAx>
        <c:axId val="8479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787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DB19428-C313-44C7-828D-C15B114516E2}">
  <sheetPr/>
  <sheetViews>
    <sheetView tabSelected="1" zoomScale="7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C4D2B6A-D6A3-4026-A882-8032B15C382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EBOSC%20-%20Sgen/Dropbox/_travail_en_cours/Analyse_Appartement/Z_Archive/Analyse_depense_revenus-bilan-achat_APAPRT_LMNP2-Banque_Postale-SANS_PIN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TREBOSC%2520-%2520Sgen\Desktop\_t&#233;l&#233;chargement\Simulateur_epargne_avec_b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BILAN"/>
      <sheetName val="BILAN Hors Villa"/>
      <sheetName val="Calculs"/>
      <sheetName val="Calculs Hors VIlla"/>
      <sheetName val="G-Reste à vivre"/>
      <sheetName val="G-Epargne_cumul"/>
      <sheetName val="G-Epargne_An"/>
      <sheetName val="G-Solde_An"/>
      <sheetName val="G-Solde_Cumul"/>
      <sheetName val="Prêt"/>
    </sheetNames>
    <sheetDataSet>
      <sheetData sheetId="0">
        <row r="2">
          <cell r="B2">
            <v>60000</v>
          </cell>
        </row>
        <row r="9">
          <cell r="B9">
            <v>15</v>
          </cell>
        </row>
        <row r="10">
          <cell r="B10">
            <v>6.4999999999999997E-3</v>
          </cell>
        </row>
        <row r="15">
          <cell r="B15">
            <v>0</v>
          </cell>
        </row>
        <row r="17">
          <cell r="B17">
            <v>900</v>
          </cell>
        </row>
        <row r="19">
          <cell r="B19">
            <v>1200</v>
          </cell>
        </row>
        <row r="30">
          <cell r="B30">
            <v>550</v>
          </cell>
        </row>
        <row r="32">
          <cell r="B32">
            <v>97000</v>
          </cell>
        </row>
        <row r="33">
          <cell r="B33">
            <v>48000</v>
          </cell>
        </row>
        <row r="36">
          <cell r="B36">
            <v>75</v>
          </cell>
        </row>
        <row r="44">
          <cell r="B44">
            <v>900</v>
          </cell>
        </row>
        <row r="45">
          <cell r="B45">
            <v>74508.666666666657</v>
          </cell>
        </row>
        <row r="46">
          <cell r="B46">
            <v>116586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épargne_avec_but"/>
    </sheetNames>
    <sheetDataSet>
      <sheetData sheetId="0">
        <row r="7">
          <cell r="D7">
            <v>290000</v>
          </cell>
        </row>
        <row r="11">
          <cell r="D11" t="str">
            <v>mensuels</v>
          </cell>
        </row>
        <row r="13">
          <cell r="D13">
            <v>2.98E-2</v>
          </cell>
        </row>
        <row r="17">
          <cell r="D17">
            <v>884.54765881389426</v>
          </cell>
        </row>
        <row r="21">
          <cell r="D21">
            <v>1208.3333333333333</v>
          </cell>
        </row>
        <row r="23">
          <cell r="D23">
            <v>323.785674519439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8A8482-B864-4C80-908E-71E5A3C684D3}" name="Prêt" displayName="Prêt" ref="B12:H370" dataDxfId="14" tableBorderDxfId="13">
  <autoFilter ref="B12:H37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DEE46A7D-E8FC-4360-9EC9-B395ACE6B4EA}" name="N°" totalsRowLabel="Total" totalsRowDxfId="12" dataCellStyle="Milliers">
      <calculatedColumnFormula>IFERROR(IF(Prêt_Non_Payé*Valeurs_Entrées,Numéro_Paiement,""), "")</calculatedColumnFormula>
    </tableColumn>
    <tableColumn id="2" xr3:uid="{19E2EAC1-38FB-4645-94DB-B7963CFE0CCE}" name="Paiement_x000a_Date" totalsRowDxfId="11" dataCellStyle="Date">
      <calculatedColumnFormula>IFERROR(IF(Prêt_Non_Payé*Valeurs_Entrées,Date_Paiement,""), "")</calculatedColumnFormula>
    </tableColumn>
    <tableColumn id="3" xr3:uid="{D1702AD7-2EE3-4469-87D3-F28D3B4B2FF1}" name="Solde _x000a_Départ" totalsRowDxfId="10" dataCellStyle="Monétaire">
      <calculatedColumnFormula>IFERROR(IF(Prêt_Non_Payé*Valeurs_Entrées,Solde_Départ,""), "")</calculatedColumnFormula>
    </tableColumn>
    <tableColumn id="4" xr3:uid="{3048F468-C958-4438-867D-69A6DCC92D44}" name="Paiement" totalsRowDxfId="9" dataCellStyle="Monétaire">
      <calculatedColumnFormula>IFERROR(IF(Prêt_Non_Payé*Valeurs_Entrées,Paiement_Mensuel,""), "")</calculatedColumnFormula>
    </tableColumn>
    <tableColumn id="5" xr3:uid="{01A06902-DB4A-4D17-9701-A70CDEFAE51C}" name="Capital" totalsRowDxfId="8" dataCellStyle="Monétaire">
      <calculatedColumnFormula>IFERROR(IF(Prêt_Non_Payé*Valeurs_Entrées,Capital,""), "")</calculatedColumnFormula>
    </tableColumn>
    <tableColumn id="6" xr3:uid="{2EA58ECA-1FAF-4DB6-AC06-402EB189D14D}" name="Intérêts" totalsRowDxfId="7" dataCellStyle="Monétaire">
      <calculatedColumnFormula>IFERROR(IF(Prêt_Non_Payé*Valeurs_Entrées,Intérêts,""), "")</calculatedColumnFormula>
    </tableColumn>
    <tableColumn id="7" xr3:uid="{CF110334-4EB7-402D-B47F-8FCFBD43ACAE}" name="Solde _x000a_Final" totalsRowFunction="count" totalsRowDxfId="6" dataCellStyle="Monétaire">
      <calculatedColumnFormula>IFERROR(IF(Prêt_Non_Payé*Valeurs_Entrées,Solde_Final,""), "")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uivez le numéro de paiement, la date de paiement, le solde de départ, le paiement, le capital, le montant des intérêts et le solde final."/>
    </ext>
  </extLst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0A426-B240-49A2-B672-C3C199373FB6}">
  <dimension ref="A1:AE19"/>
  <sheetViews>
    <sheetView workbookViewId="0">
      <selection activeCell="B3" sqref="B3"/>
    </sheetView>
  </sheetViews>
  <sheetFormatPr baseColWidth="10" defaultColWidth="8.85546875" defaultRowHeight="15" x14ac:dyDescent="0.25"/>
  <cols>
    <col min="1" max="1" width="27.5703125" bestFit="1" customWidth="1"/>
    <col min="2" max="2" width="10.28515625" style="1" bestFit="1" customWidth="1"/>
    <col min="3" max="3" width="9.42578125" bestFit="1" customWidth="1"/>
    <col min="4" max="4" width="9.5703125" bestFit="1" customWidth="1"/>
    <col min="5" max="15" width="9.42578125" bestFit="1" customWidth="1"/>
    <col min="16" max="16" width="10.28515625" customWidth="1"/>
    <col min="17" max="30" width="9.42578125" bestFit="1" customWidth="1"/>
    <col min="31" max="31" width="9.5703125" bestFit="1" customWidth="1"/>
  </cols>
  <sheetData>
    <row r="1" spans="1:31" x14ac:dyDescent="0.25">
      <c r="A1" s="3" t="s">
        <v>1</v>
      </c>
      <c r="B1" s="5">
        <v>60000</v>
      </c>
      <c r="C1" s="5"/>
      <c r="H1" t="str">
        <f>CONCATENATE("Revente au cours des années - prêt ",Tau_Prêt*100,"%")</f>
        <v>Revente au cours des années - prêt 2,6%</v>
      </c>
    </row>
    <row r="2" spans="1:31" x14ac:dyDescent="0.25">
      <c r="A2" s="3" t="s">
        <v>0</v>
      </c>
      <c r="B2" s="4">
        <v>6000</v>
      </c>
      <c r="C2" s="4"/>
    </row>
    <row r="3" spans="1:31" x14ac:dyDescent="0.25">
      <c r="A3" s="3" t="s">
        <v>31</v>
      </c>
      <c r="B3">
        <v>15</v>
      </c>
      <c r="C3" s="4"/>
      <c r="E3" s="42"/>
    </row>
    <row r="4" spans="1:31" x14ac:dyDescent="0.25">
      <c r="A4" s="3" t="s">
        <v>32</v>
      </c>
      <c r="B4" s="42">
        <v>2.5999999999999999E-2</v>
      </c>
      <c r="C4" s="4"/>
      <c r="E4" s="42"/>
    </row>
    <row r="6" spans="1:31" x14ac:dyDescent="0.25">
      <c r="A6" t="s">
        <v>47</v>
      </c>
      <c r="B6" s="1">
        <f>B1+Apport</f>
        <v>66000</v>
      </c>
      <c r="D6" s="41"/>
    </row>
    <row r="8" spans="1:31" x14ac:dyDescent="0.25">
      <c r="B8" s="44">
        <v>1</v>
      </c>
      <c r="C8" s="44">
        <f>B8+1</f>
        <v>2</v>
      </c>
      <c r="D8" s="44">
        <f t="shared" ref="D8:Z8" si="0">C8+1</f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ref="AA8" si="1">Z8+1</f>
        <v>26</v>
      </c>
      <c r="AB8" s="44">
        <f t="shared" ref="AB8" si="2">AA8+1</f>
        <v>27</v>
      </c>
      <c r="AC8" s="44">
        <f t="shared" ref="AC8" si="3">AB8+1</f>
        <v>28</v>
      </c>
      <c r="AD8" s="44">
        <f t="shared" ref="AD8:AE8" si="4">AC8+1</f>
        <v>29</v>
      </c>
      <c r="AE8" s="44">
        <f t="shared" si="4"/>
        <v>30</v>
      </c>
    </row>
    <row r="9" spans="1:31" x14ac:dyDescent="0.25">
      <c r="A9" t="s">
        <v>1</v>
      </c>
      <c r="B9" s="1">
        <f>Prêt!K9</f>
        <v>4921.8492777504789</v>
      </c>
      <c r="C9" s="1">
        <f>Prêt!L9</f>
        <v>4926.8492777504789</v>
      </c>
      <c r="D9" s="1">
        <f>Prêt!M9</f>
        <v>4926.8492777504789</v>
      </c>
      <c r="E9" s="1">
        <f>Prêt!N9</f>
        <v>4926.8492777504789</v>
      </c>
      <c r="F9" s="1">
        <f>Prêt!O9</f>
        <v>4926.8492777504789</v>
      </c>
      <c r="G9" s="1">
        <f>Prêt!P9</f>
        <v>4926.8492777504789</v>
      </c>
      <c r="H9" s="1">
        <f>Prêt!Q9</f>
        <v>4926.8492777504789</v>
      </c>
      <c r="I9" s="1">
        <f>Prêt!R9</f>
        <v>4926.8492777504789</v>
      </c>
      <c r="J9" s="1">
        <f>Prêt!S9</f>
        <v>4926.8492777504789</v>
      </c>
      <c r="K9" s="1">
        <f>Prêt!T9</f>
        <v>4926.8492777504789</v>
      </c>
      <c r="L9" s="1">
        <f>Prêt!U9</f>
        <v>4926.8492777504789</v>
      </c>
      <c r="M9" s="1">
        <f>Prêt!V9</f>
        <v>4926.8492777504789</v>
      </c>
      <c r="N9" s="1">
        <f>Prêt!W9</f>
        <v>4926.8492777504789</v>
      </c>
      <c r="O9" s="1">
        <f>Prêt!X9</f>
        <v>4926.8492777504789</v>
      </c>
      <c r="P9" s="1">
        <f>Prêt!Y9</f>
        <v>4926.8492777504789</v>
      </c>
      <c r="Q9" s="1">
        <f>Prêt!Z9</f>
        <v>0</v>
      </c>
      <c r="R9" s="1">
        <f>Prêt!AA9</f>
        <v>0</v>
      </c>
      <c r="S9" s="1">
        <f>Prêt!AB9</f>
        <v>0</v>
      </c>
      <c r="T9" s="1">
        <f>Prêt!AC9</f>
        <v>0</v>
      </c>
      <c r="U9" s="1">
        <f>Prêt!AD9</f>
        <v>0</v>
      </c>
      <c r="V9" s="1">
        <f>Prêt!AE9</f>
        <v>0</v>
      </c>
      <c r="W9" s="1">
        <f>Prêt!AF9</f>
        <v>0</v>
      </c>
      <c r="X9" s="1">
        <f>Prêt!AG9</f>
        <v>0</v>
      </c>
      <c r="Y9" s="1">
        <f>Prêt!AH9</f>
        <v>0</v>
      </c>
      <c r="Z9" s="1">
        <f>Prêt!AI9</f>
        <v>0</v>
      </c>
      <c r="AA9" s="1">
        <f>Prêt!AJ9</f>
        <v>0</v>
      </c>
      <c r="AB9" s="1">
        <f>Prêt!AK9</f>
        <v>0</v>
      </c>
      <c r="AC9" s="1">
        <f>Prêt!AL9</f>
        <v>0</v>
      </c>
      <c r="AD9" s="1">
        <f>Prêt!AM9</f>
        <v>0</v>
      </c>
      <c r="AE9" s="1">
        <f>Prêt!AN9</f>
        <v>0</v>
      </c>
    </row>
    <row r="10" spans="1:31" x14ac:dyDescent="0.25">
      <c r="A10" t="s">
        <v>26</v>
      </c>
      <c r="B10" s="1">
        <f>Prêt!K10</f>
        <v>1397.2666215439431</v>
      </c>
      <c r="C10" s="1">
        <f>Prêt!L10</f>
        <v>1317.417910805646</v>
      </c>
      <c r="D10" s="1">
        <f>Prêt!M10</f>
        <v>1235.4682142455911</v>
      </c>
      <c r="E10" s="1">
        <f>Prêt!N10</f>
        <v>1151.3622505526296</v>
      </c>
      <c r="F10" s="1">
        <f>Prêt!O10</f>
        <v>1065.0432838492211</v>
      </c>
      <c r="G10" s="1">
        <f>Prêt!P10</f>
        <v>976.45308541876591</v>
      </c>
      <c r="H10" s="1">
        <f>Prêt!Q10</f>
        <v>885.53189442589996</v>
      </c>
      <c r="I10" s="1">
        <f>Prêt!R10</f>
        <v>792.21837760326082</v>
      </c>
      <c r="J10" s="1">
        <f>Prêt!S10</f>
        <v>696.44958787752853</v>
      </c>
      <c r="K10" s="1">
        <f>Prêt!T10</f>
        <v>598.16092190682957</v>
      </c>
      <c r="L10" s="1">
        <f>Prêt!U10</f>
        <v>497.28607650086502</v>
      </c>
      <c r="M10" s="1">
        <f>Prêt!V10</f>
        <v>393.75700389435718</v>
      </c>
      <c r="N10" s="1">
        <f>Prêt!W10</f>
        <v>287.50386584365117</v>
      </c>
      <c r="O10" s="1">
        <f>Prêt!X10</f>
        <v>178.4549865155011</v>
      </c>
      <c r="P10" s="1">
        <f>Prêt!Y10</f>
        <v>66.536804136261324</v>
      </c>
      <c r="Q10" s="1">
        <f>Prêt!Z10</f>
        <v>0</v>
      </c>
      <c r="R10" s="1">
        <f>Prêt!AA10</f>
        <v>0</v>
      </c>
      <c r="S10" s="1">
        <f>Prêt!AB10</f>
        <v>0</v>
      </c>
      <c r="T10" s="1">
        <f>Prêt!AC10</f>
        <v>0</v>
      </c>
      <c r="U10" s="1">
        <f>Prêt!AD10</f>
        <v>0</v>
      </c>
      <c r="V10" s="1">
        <f>Prêt!AE10</f>
        <v>0</v>
      </c>
      <c r="W10" s="1">
        <f>Prêt!AF10</f>
        <v>0</v>
      </c>
      <c r="X10" s="1">
        <f>Prêt!AG10</f>
        <v>0</v>
      </c>
      <c r="Y10" s="1">
        <f>Prêt!AH10</f>
        <v>0</v>
      </c>
      <c r="Z10" s="1">
        <f>Prêt!AI10</f>
        <v>0</v>
      </c>
      <c r="AA10" s="1">
        <f>Prêt!AJ10</f>
        <v>0</v>
      </c>
      <c r="AB10" s="1">
        <f>Prêt!AK10</f>
        <v>0</v>
      </c>
      <c r="AC10" s="1">
        <f>Prêt!AL10</f>
        <v>0</v>
      </c>
      <c r="AD10" s="1">
        <f>Prêt!AM10</f>
        <v>0</v>
      </c>
      <c r="AE10" s="1">
        <f>Prêt!AN10</f>
        <v>0</v>
      </c>
    </row>
    <row r="11" spans="1:31" x14ac:dyDescent="0.25">
      <c r="A11" t="s">
        <v>20</v>
      </c>
      <c r="B11" s="1">
        <f>Prêt!K11</f>
        <v>56965.321450272641</v>
      </c>
      <c r="C11" s="1">
        <f>Prêt!L11</f>
        <v>53571.314946470033</v>
      </c>
      <c r="D11" s="1">
        <f>Prêt!M11</f>
        <v>50088.005065349134</v>
      </c>
      <c r="E11" s="1">
        <f>Prêt!N11</f>
        <v>46513.042049126176</v>
      </c>
      <c r="F11" s="1">
        <f>Prêt!O11</f>
        <v>42844.014312997948</v>
      </c>
      <c r="G11" s="1">
        <f>Prêt!P11</f>
        <v>39078.44681834439</v>
      </c>
      <c r="H11" s="1">
        <f>Prêt!Q11</f>
        <v>35213.799403126206</v>
      </c>
      <c r="I11" s="1">
        <f>Prêt!R11</f>
        <v>31247.46506835238</v>
      </c>
      <c r="J11" s="1">
        <f>Prêt!S11</f>
        <v>27176.768219460806</v>
      </c>
      <c r="K11" s="1">
        <f>Prêt!T11</f>
        <v>22998.96286142592</v>
      </c>
      <c r="L11" s="1">
        <f>Prêt!U11</f>
        <v>18711.23074637603</v>
      </c>
      <c r="M11" s="1">
        <f>Prêt!V11</f>
        <v>14310.679472470365</v>
      </c>
      <c r="N11" s="1">
        <f>Prêt!W11</f>
        <v>9794.3405327538203</v>
      </c>
      <c r="O11" s="1">
        <f>Prêt!X11</f>
        <v>5159.1673126731039</v>
      </c>
      <c r="P11" s="1">
        <f>Prêt!Y11</f>
        <v>402.03303490296821</v>
      </c>
      <c r="Q11" s="1">
        <f>Prêt!Z11</f>
        <v>0</v>
      </c>
      <c r="R11" s="1">
        <f>Prêt!AA11</f>
        <v>0</v>
      </c>
      <c r="S11" s="1">
        <f>Prêt!AB11</f>
        <v>0</v>
      </c>
      <c r="T11" s="1">
        <f>Prêt!AC11</f>
        <v>0</v>
      </c>
      <c r="U11" s="1">
        <f>Prêt!AD11</f>
        <v>0</v>
      </c>
      <c r="V11" s="1">
        <f>Prêt!AE11</f>
        <v>0</v>
      </c>
      <c r="W11" s="1">
        <f>Prêt!AF11</f>
        <v>0</v>
      </c>
      <c r="X11" s="1">
        <f>Prêt!AG11</f>
        <v>0</v>
      </c>
      <c r="Y11" s="1">
        <f>Prêt!AH11</f>
        <v>0</v>
      </c>
      <c r="Z11" s="1">
        <f>Prêt!AI11</f>
        <v>0</v>
      </c>
      <c r="AA11" s="1">
        <f>Prêt!AJ11</f>
        <v>0</v>
      </c>
      <c r="AB11" s="1">
        <f>Prêt!AK11</f>
        <v>0</v>
      </c>
      <c r="AC11" s="1">
        <f>Prêt!AL11</f>
        <v>0</v>
      </c>
      <c r="AD11" s="1">
        <f>Prêt!AM11</f>
        <v>0</v>
      </c>
      <c r="AE11" s="1">
        <f>Prêt!AN11</f>
        <v>0</v>
      </c>
    </row>
    <row r="13" spans="1:31" x14ac:dyDescent="0.25">
      <c r="A13" t="s">
        <v>85</v>
      </c>
      <c r="B13" s="46">
        <v>0.11</v>
      </c>
    </row>
    <row r="15" spans="1:31" x14ac:dyDescent="0.25">
      <c r="D15" s="43"/>
    </row>
    <row r="16" spans="1:31" x14ac:dyDescent="0.25">
      <c r="D16" s="43"/>
    </row>
    <row r="17" spans="4:4" x14ac:dyDescent="0.25">
      <c r="D17" s="43"/>
    </row>
    <row r="18" spans="4:4" x14ac:dyDescent="0.25">
      <c r="D18" s="43"/>
    </row>
    <row r="19" spans="4:4" x14ac:dyDescent="0.25">
      <c r="D19" s="43"/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DE2F-4597-4107-A035-9951DEB69860}">
  <sheetPr>
    <tabColor theme="4" tint="0.79998168889431442"/>
    <pageSetUpPr fitToPage="1"/>
  </sheetPr>
  <dimension ref="B1:AI370"/>
  <sheetViews>
    <sheetView topLeftCell="F1" workbookViewId="0">
      <selection activeCell="U12" sqref="U12"/>
    </sheetView>
  </sheetViews>
  <sheetFormatPr baseColWidth="10" defaultColWidth="10.28515625" defaultRowHeight="15" x14ac:dyDescent="0.25"/>
  <cols>
    <col min="1" max="1" width="3" style="15" customWidth="1"/>
    <col min="2" max="2" width="6.5703125" style="15" customWidth="1"/>
    <col min="3" max="3" width="15.5703125" style="15" customWidth="1"/>
    <col min="4" max="4" width="19" style="15" customWidth="1"/>
    <col min="5" max="8" width="15.5703125" style="15" customWidth="1"/>
    <col min="9" max="9" width="3" style="15" customWidth="1"/>
    <col min="10" max="10" width="10.5703125" style="33" bestFit="1" customWidth="1"/>
    <col min="11" max="19" width="10.7109375" style="33" bestFit="1" customWidth="1"/>
    <col min="20" max="22" width="10.140625" style="33" bestFit="1" customWidth="1"/>
    <col min="23" max="24" width="10" style="33" bestFit="1" customWidth="1"/>
    <col min="25" max="26" width="9.7109375" style="33" bestFit="1" customWidth="1"/>
    <col min="27" max="28" width="9.7109375" style="15" bestFit="1" customWidth="1"/>
    <col min="29" max="30" width="10.28515625" style="15" bestFit="1" customWidth="1"/>
    <col min="31" max="16384" width="10.28515625" style="15"/>
  </cols>
  <sheetData>
    <row r="1" spans="2:35" ht="30" customHeight="1" x14ac:dyDescent="0.35">
      <c r="B1" s="7" t="s">
        <v>2</v>
      </c>
      <c r="C1" s="8"/>
      <c r="D1" s="8"/>
      <c r="E1" s="9"/>
      <c r="F1" s="9"/>
      <c r="G1" s="9"/>
      <c r="H1" s="9"/>
      <c r="I1" s="10"/>
      <c r="J1" s="11"/>
      <c r="K1" s="12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4"/>
      <c r="AB1" s="14"/>
      <c r="AC1" s="14"/>
      <c r="AD1" s="14"/>
    </row>
    <row r="2" spans="2:35" x14ac:dyDescent="0.25">
      <c r="B2" s="75" t="s">
        <v>3</v>
      </c>
      <c r="C2" s="75"/>
      <c r="D2" s="75"/>
      <c r="E2" s="76"/>
      <c r="J2" s="11" t="s">
        <v>4</v>
      </c>
      <c r="K2" s="16">
        <f>SUM(K8:Y8)/12</f>
        <v>114.58333333333333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2:35" x14ac:dyDescent="0.25">
      <c r="B3" s="77" t="s">
        <v>5</v>
      </c>
      <c r="C3" s="77"/>
      <c r="D3" s="78"/>
      <c r="E3" s="17">
        <f>pret</f>
        <v>60000</v>
      </c>
      <c r="J3" s="11" t="s">
        <v>6</v>
      </c>
      <c r="K3" s="18">
        <f>IF(E8="",0,E8)</f>
        <v>402.90410647920658</v>
      </c>
      <c r="L3" s="13">
        <f>IF(Durée_Prêt&gt;0,K3+(SUM(K8:AI8)/Durée_Prêt/12),0)</f>
        <v>410.54299536809549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4"/>
      <c r="AC3" s="14"/>
      <c r="AD3" s="14"/>
    </row>
    <row r="4" spans="2:35" x14ac:dyDescent="0.25">
      <c r="B4" s="73" t="s">
        <v>7</v>
      </c>
      <c r="C4" s="73"/>
      <c r="D4" s="79"/>
      <c r="E4" s="19">
        <f>Investissement!Tau_Prêt</f>
        <v>2.5999999999999999E-2</v>
      </c>
      <c r="H4" s="20"/>
      <c r="J4" s="11"/>
      <c r="K4" s="18"/>
      <c r="L4" s="13"/>
      <c r="M4" s="13"/>
      <c r="N4" s="13"/>
      <c r="O4" s="21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4"/>
      <c r="AC4" s="14"/>
      <c r="AD4" s="14"/>
      <c r="AE4" s="22"/>
    </row>
    <row r="5" spans="2:35" x14ac:dyDescent="0.25">
      <c r="B5" s="73" t="s">
        <v>8</v>
      </c>
      <c r="C5" s="73"/>
      <c r="D5" s="79"/>
      <c r="E5" s="40">
        <f>Investissement!Duree_Prêt</f>
        <v>15</v>
      </c>
      <c r="H5" s="20"/>
      <c r="J5" s="15" t="s">
        <v>9</v>
      </c>
      <c r="K5" s="18">
        <f>12*K3</f>
        <v>4834.8492777504789</v>
      </c>
      <c r="L5" s="13">
        <f t="shared" ref="L5:AI5" si="0">IF(L10&gt;0,K5,0)</f>
        <v>4834.8492777504789</v>
      </c>
      <c r="M5" s="13">
        <f t="shared" si="0"/>
        <v>4834.8492777504789</v>
      </c>
      <c r="N5" s="13">
        <f t="shared" si="0"/>
        <v>4834.8492777504789</v>
      </c>
      <c r="O5" s="13">
        <f t="shared" si="0"/>
        <v>4834.8492777504789</v>
      </c>
      <c r="P5" s="13">
        <f t="shared" si="0"/>
        <v>4834.8492777504789</v>
      </c>
      <c r="Q5" s="13">
        <f t="shared" si="0"/>
        <v>4834.8492777504789</v>
      </c>
      <c r="R5" s="13">
        <f t="shared" si="0"/>
        <v>4834.8492777504789</v>
      </c>
      <c r="S5" s="13">
        <f t="shared" si="0"/>
        <v>4834.8492777504789</v>
      </c>
      <c r="T5" s="13">
        <f t="shared" si="0"/>
        <v>4834.8492777504789</v>
      </c>
      <c r="U5" s="13">
        <f t="shared" si="0"/>
        <v>4834.8492777504789</v>
      </c>
      <c r="V5" s="13">
        <f t="shared" si="0"/>
        <v>4834.8492777504789</v>
      </c>
      <c r="W5" s="13">
        <f t="shared" si="0"/>
        <v>4834.8492777504789</v>
      </c>
      <c r="X5" s="13">
        <f t="shared" si="0"/>
        <v>4834.8492777504789</v>
      </c>
      <c r="Y5" s="13">
        <f t="shared" si="0"/>
        <v>4834.8492777504789</v>
      </c>
      <c r="Z5" s="13">
        <f t="shared" si="0"/>
        <v>0</v>
      </c>
      <c r="AA5" s="13">
        <f t="shared" si="0"/>
        <v>0</v>
      </c>
      <c r="AB5" s="13">
        <f t="shared" si="0"/>
        <v>0</v>
      </c>
      <c r="AC5" s="13">
        <f t="shared" si="0"/>
        <v>0</v>
      </c>
      <c r="AD5" s="13">
        <f t="shared" si="0"/>
        <v>0</v>
      </c>
      <c r="AE5" s="13">
        <f t="shared" si="0"/>
        <v>0</v>
      </c>
      <c r="AF5" s="13">
        <f t="shared" si="0"/>
        <v>0</v>
      </c>
      <c r="AG5" s="13">
        <f t="shared" si="0"/>
        <v>0</v>
      </c>
      <c r="AH5" s="13">
        <f t="shared" si="0"/>
        <v>0</v>
      </c>
      <c r="AI5" s="13">
        <f t="shared" si="0"/>
        <v>0</v>
      </c>
    </row>
    <row r="6" spans="2:35" x14ac:dyDescent="0.25">
      <c r="B6" s="73" t="s">
        <v>10</v>
      </c>
      <c r="C6" s="73"/>
      <c r="D6" s="79"/>
      <c r="E6" s="23">
        <v>44562</v>
      </c>
      <c r="H6" s="20"/>
      <c r="J6" s="15" t="s">
        <v>11</v>
      </c>
      <c r="K6" s="24">
        <v>41</v>
      </c>
      <c r="L6" s="24">
        <f>IF(L5&gt;0,37,0)</f>
        <v>37</v>
      </c>
      <c r="M6" s="24">
        <f t="shared" ref="M6:AH6" si="1">IF(M5&gt;0,37,0)</f>
        <v>37</v>
      </c>
      <c r="N6" s="24">
        <f t="shared" si="1"/>
        <v>37</v>
      </c>
      <c r="O6" s="24">
        <f t="shared" si="1"/>
        <v>37</v>
      </c>
      <c r="P6" s="24">
        <f t="shared" si="1"/>
        <v>37</v>
      </c>
      <c r="Q6" s="24">
        <f t="shared" si="1"/>
        <v>37</v>
      </c>
      <c r="R6" s="24">
        <f t="shared" si="1"/>
        <v>37</v>
      </c>
      <c r="S6" s="24">
        <f t="shared" si="1"/>
        <v>37</v>
      </c>
      <c r="T6" s="24">
        <f t="shared" si="1"/>
        <v>37</v>
      </c>
      <c r="U6" s="24">
        <f t="shared" si="1"/>
        <v>37</v>
      </c>
      <c r="V6" s="24">
        <f t="shared" si="1"/>
        <v>37</v>
      </c>
      <c r="W6" s="24">
        <f t="shared" si="1"/>
        <v>37</v>
      </c>
      <c r="X6" s="24">
        <f t="shared" si="1"/>
        <v>37</v>
      </c>
      <c r="Y6" s="24">
        <f t="shared" si="1"/>
        <v>37</v>
      </c>
      <c r="Z6" s="24">
        <f t="shared" si="1"/>
        <v>0</v>
      </c>
      <c r="AA6" s="24">
        <f t="shared" si="1"/>
        <v>0</v>
      </c>
      <c r="AB6" s="24">
        <f t="shared" si="1"/>
        <v>0</v>
      </c>
      <c r="AC6" s="24">
        <f t="shared" si="1"/>
        <v>0</v>
      </c>
      <c r="AD6" s="24">
        <f t="shared" si="1"/>
        <v>0</v>
      </c>
      <c r="AE6" s="24">
        <f t="shared" si="1"/>
        <v>0</v>
      </c>
      <c r="AF6" s="24">
        <f t="shared" si="1"/>
        <v>0</v>
      </c>
      <c r="AG6" s="24">
        <f t="shared" si="1"/>
        <v>0</v>
      </c>
      <c r="AH6" s="24">
        <f t="shared" si="1"/>
        <v>0</v>
      </c>
      <c r="AI6" s="13"/>
    </row>
    <row r="7" spans="2:35" x14ac:dyDescent="0.25">
      <c r="B7" s="25"/>
      <c r="C7" s="25"/>
      <c r="D7" s="25"/>
      <c r="J7" s="15" t="s">
        <v>12</v>
      </c>
      <c r="K7" s="26">
        <v>46</v>
      </c>
      <c r="L7" s="26">
        <f>IF(L5&gt;0,55,0)</f>
        <v>55</v>
      </c>
      <c r="M7" s="26">
        <f t="shared" ref="M7:AI7" si="2">IF(M5&gt;0,55,0)</f>
        <v>55</v>
      </c>
      <c r="N7" s="26">
        <f t="shared" si="2"/>
        <v>55</v>
      </c>
      <c r="O7" s="26">
        <f t="shared" si="2"/>
        <v>55</v>
      </c>
      <c r="P7" s="26">
        <f t="shared" si="2"/>
        <v>55</v>
      </c>
      <c r="Q7" s="26">
        <f t="shared" si="2"/>
        <v>55</v>
      </c>
      <c r="R7" s="26">
        <f t="shared" si="2"/>
        <v>55</v>
      </c>
      <c r="S7" s="26">
        <f t="shared" si="2"/>
        <v>55</v>
      </c>
      <c r="T7" s="26">
        <f t="shared" si="2"/>
        <v>55</v>
      </c>
      <c r="U7" s="26">
        <f t="shared" si="2"/>
        <v>55</v>
      </c>
      <c r="V7" s="26">
        <f t="shared" si="2"/>
        <v>55</v>
      </c>
      <c r="W7" s="26">
        <f t="shared" si="2"/>
        <v>55</v>
      </c>
      <c r="X7" s="26">
        <f t="shared" si="2"/>
        <v>55</v>
      </c>
      <c r="Y7" s="26">
        <f t="shared" si="2"/>
        <v>55</v>
      </c>
      <c r="Z7" s="26">
        <f t="shared" si="2"/>
        <v>0</v>
      </c>
      <c r="AA7" s="26">
        <f t="shared" si="2"/>
        <v>0</v>
      </c>
      <c r="AB7" s="26">
        <f t="shared" si="2"/>
        <v>0</v>
      </c>
      <c r="AC7" s="26">
        <f t="shared" si="2"/>
        <v>0</v>
      </c>
      <c r="AD7" s="26">
        <f t="shared" si="2"/>
        <v>0</v>
      </c>
      <c r="AE7" s="26">
        <f t="shared" si="2"/>
        <v>0</v>
      </c>
      <c r="AF7" s="26">
        <f t="shared" si="2"/>
        <v>0</v>
      </c>
      <c r="AG7" s="26">
        <f t="shared" si="2"/>
        <v>0</v>
      </c>
      <c r="AH7" s="26">
        <f t="shared" si="2"/>
        <v>0</v>
      </c>
      <c r="AI7" s="26">
        <f t="shared" si="2"/>
        <v>0</v>
      </c>
    </row>
    <row r="8" spans="2:35" x14ac:dyDescent="0.25">
      <c r="B8" s="73" t="s">
        <v>13</v>
      </c>
      <c r="C8" s="73"/>
      <c r="D8" s="74"/>
      <c r="E8" s="27">
        <f>IFERROR(IF(Valeurs_Entrées,Paiement_Mensuel,""), "")</f>
        <v>402.90410647920658</v>
      </c>
      <c r="J8" s="15" t="s">
        <v>14</v>
      </c>
      <c r="K8" s="28">
        <f>K6+K7</f>
        <v>87</v>
      </c>
      <c r="L8" s="28">
        <f t="shared" ref="L8:AI8" si="3">L6+L7</f>
        <v>92</v>
      </c>
      <c r="M8" s="28">
        <f t="shared" si="3"/>
        <v>92</v>
      </c>
      <c r="N8" s="28">
        <f t="shared" si="3"/>
        <v>92</v>
      </c>
      <c r="O8" s="28">
        <f t="shared" si="3"/>
        <v>92</v>
      </c>
      <c r="P8" s="28">
        <f t="shared" si="3"/>
        <v>92</v>
      </c>
      <c r="Q8" s="28">
        <f t="shared" si="3"/>
        <v>92</v>
      </c>
      <c r="R8" s="28">
        <f t="shared" si="3"/>
        <v>92</v>
      </c>
      <c r="S8" s="28">
        <f t="shared" si="3"/>
        <v>92</v>
      </c>
      <c r="T8" s="28">
        <f t="shared" si="3"/>
        <v>92</v>
      </c>
      <c r="U8" s="28">
        <f t="shared" si="3"/>
        <v>92</v>
      </c>
      <c r="V8" s="28">
        <f t="shared" si="3"/>
        <v>92</v>
      </c>
      <c r="W8" s="28">
        <f t="shared" si="3"/>
        <v>92</v>
      </c>
      <c r="X8" s="28">
        <f t="shared" si="3"/>
        <v>92</v>
      </c>
      <c r="Y8" s="28">
        <f t="shared" si="3"/>
        <v>92</v>
      </c>
      <c r="Z8" s="28">
        <f t="shared" si="3"/>
        <v>0</v>
      </c>
      <c r="AA8" s="28">
        <f t="shared" si="3"/>
        <v>0</v>
      </c>
      <c r="AB8" s="28">
        <f t="shared" si="3"/>
        <v>0</v>
      </c>
      <c r="AC8" s="28">
        <f t="shared" si="3"/>
        <v>0</v>
      </c>
      <c r="AD8" s="28">
        <f t="shared" si="3"/>
        <v>0</v>
      </c>
      <c r="AE8" s="28">
        <f t="shared" si="3"/>
        <v>0</v>
      </c>
      <c r="AF8" s="28">
        <f t="shared" si="3"/>
        <v>0</v>
      </c>
      <c r="AG8" s="28">
        <f t="shared" si="3"/>
        <v>0</v>
      </c>
      <c r="AH8" s="28">
        <f t="shared" si="3"/>
        <v>0</v>
      </c>
      <c r="AI8" s="28">
        <f t="shared" si="3"/>
        <v>0</v>
      </c>
    </row>
    <row r="9" spans="2:35" x14ac:dyDescent="0.25">
      <c r="B9" s="73" t="s">
        <v>15</v>
      </c>
      <c r="C9" s="73"/>
      <c r="D9" s="74"/>
      <c r="E9" s="29">
        <f>IFERROR(IF(Valeurs_Entrées,Durée_Prêt*12,""), "")</f>
        <v>180</v>
      </c>
      <c r="G9" s="30"/>
      <c r="H9" s="30"/>
      <c r="J9" s="15" t="s">
        <v>16</v>
      </c>
      <c r="K9" s="31">
        <f t="shared" ref="K9:Y9" si="4">K5+K8</f>
        <v>4921.8492777504789</v>
      </c>
      <c r="L9" s="31">
        <f t="shared" si="4"/>
        <v>4926.8492777504789</v>
      </c>
      <c r="M9" s="31">
        <f t="shared" si="4"/>
        <v>4926.8492777504789</v>
      </c>
      <c r="N9" s="31">
        <f t="shared" si="4"/>
        <v>4926.8492777504789</v>
      </c>
      <c r="O9" s="31">
        <f t="shared" si="4"/>
        <v>4926.8492777504789</v>
      </c>
      <c r="P9" s="31">
        <f t="shared" si="4"/>
        <v>4926.8492777504789</v>
      </c>
      <c r="Q9" s="31">
        <f t="shared" si="4"/>
        <v>4926.8492777504789</v>
      </c>
      <c r="R9" s="31">
        <f t="shared" si="4"/>
        <v>4926.8492777504789</v>
      </c>
      <c r="S9" s="31">
        <f t="shared" si="4"/>
        <v>4926.8492777504789</v>
      </c>
      <c r="T9" s="31">
        <f t="shared" si="4"/>
        <v>4926.8492777504789</v>
      </c>
      <c r="U9" s="31">
        <f t="shared" si="4"/>
        <v>4926.8492777504789</v>
      </c>
      <c r="V9" s="31">
        <f t="shared" si="4"/>
        <v>4926.8492777504789</v>
      </c>
      <c r="W9" s="31">
        <f t="shared" si="4"/>
        <v>4926.8492777504789</v>
      </c>
      <c r="X9" s="31">
        <f t="shared" si="4"/>
        <v>4926.8492777504789</v>
      </c>
      <c r="Y9" s="31">
        <f t="shared" si="4"/>
        <v>4926.8492777504789</v>
      </c>
      <c r="Z9" s="31">
        <f t="shared" ref="Z9:AI9" si="5">IF(Z10&gt;0,$K3*12+$K$2,0)</f>
        <v>0</v>
      </c>
      <c r="AA9" s="31">
        <f t="shared" si="5"/>
        <v>0</v>
      </c>
      <c r="AB9" s="31">
        <f t="shared" si="5"/>
        <v>0</v>
      </c>
      <c r="AC9" s="31">
        <f t="shared" si="5"/>
        <v>0</v>
      </c>
      <c r="AD9" s="31">
        <f t="shared" si="5"/>
        <v>0</v>
      </c>
      <c r="AE9" s="31">
        <f t="shared" si="5"/>
        <v>0</v>
      </c>
      <c r="AF9" s="31">
        <f t="shared" si="5"/>
        <v>0</v>
      </c>
      <c r="AG9" s="31">
        <f t="shared" si="5"/>
        <v>0</v>
      </c>
      <c r="AH9" s="31">
        <f t="shared" si="5"/>
        <v>0</v>
      </c>
      <c r="AI9" s="31">
        <f t="shared" si="5"/>
        <v>0</v>
      </c>
    </row>
    <row r="10" spans="2:35" x14ac:dyDescent="0.25">
      <c r="B10" s="73" t="s">
        <v>17</v>
      </c>
      <c r="C10" s="73"/>
      <c r="D10" s="74"/>
      <c r="E10" s="27" t="str">
        <f>IFERROR(IF(Valeurs_Entrées,Coût_Total-Montant_Du_Prêt,""), "")</f>
        <v/>
      </c>
      <c r="J10" s="15" t="s">
        <v>18</v>
      </c>
      <c r="K10" s="31">
        <f>J29</f>
        <v>1397.2666215439431</v>
      </c>
      <c r="L10" s="31">
        <f>J41</f>
        <v>1317.417910805646</v>
      </c>
      <c r="M10" s="31">
        <f>J53</f>
        <v>1235.4682142455911</v>
      </c>
      <c r="N10" s="31">
        <f>J65</f>
        <v>1151.3622505526296</v>
      </c>
      <c r="O10" s="31">
        <f>J77</f>
        <v>1065.0432838492211</v>
      </c>
      <c r="P10" s="31">
        <f>J89</f>
        <v>976.45308541876591</v>
      </c>
      <c r="Q10" s="31">
        <f>J101</f>
        <v>885.53189442589996</v>
      </c>
      <c r="R10" s="31">
        <f>J113</f>
        <v>792.21837760326082</v>
      </c>
      <c r="S10" s="31">
        <f>J125</f>
        <v>696.44958787752853</v>
      </c>
      <c r="T10" s="31">
        <f>J137</f>
        <v>598.16092190682957</v>
      </c>
      <c r="U10" s="31">
        <f>J149</f>
        <v>497.28607650086502</v>
      </c>
      <c r="V10" s="31">
        <f>J161</f>
        <v>393.75700389435718</v>
      </c>
      <c r="W10" s="31">
        <f>J173</f>
        <v>287.50386584365117</v>
      </c>
      <c r="X10" s="31">
        <f>J185</f>
        <v>178.4549865155011</v>
      </c>
      <c r="Y10" s="31">
        <f>J197</f>
        <v>66.536804136261324</v>
      </c>
      <c r="Z10" s="31">
        <f>J209</f>
        <v>0</v>
      </c>
      <c r="AA10" s="31">
        <f>J221</f>
        <v>0</v>
      </c>
      <c r="AB10" s="31">
        <f>J233</f>
        <v>0</v>
      </c>
      <c r="AC10" s="31">
        <f>J245</f>
        <v>0</v>
      </c>
      <c r="AD10" s="31">
        <f>J257</f>
        <v>0</v>
      </c>
      <c r="AE10" s="31">
        <f>J269</f>
        <v>0</v>
      </c>
      <c r="AF10" s="31">
        <f>J281</f>
        <v>0</v>
      </c>
      <c r="AG10" s="31">
        <f>J293</f>
        <v>0</v>
      </c>
      <c r="AH10" s="31">
        <f>J305</f>
        <v>0</v>
      </c>
      <c r="AI10" s="31">
        <f>J317</f>
        <v>0</v>
      </c>
    </row>
    <row r="11" spans="2:35" x14ac:dyDescent="0.25">
      <c r="B11" s="73" t="s">
        <v>19</v>
      </c>
      <c r="C11" s="73"/>
      <c r="D11" s="74"/>
      <c r="E11" s="27">
        <f>IFERROR(IF(Valeurs_Entrées,Paiement_Mensuel*Nombre_De_Paiements,""), "")</f>
        <v>72522.73916625719</v>
      </c>
      <c r="J11" s="15" t="s">
        <v>20</v>
      </c>
      <c r="K11" s="31">
        <f>IF(D24="",0,D24)</f>
        <v>56965.321450272641</v>
      </c>
      <c r="L11" s="31">
        <f>IF(D36="",0,D36)</f>
        <v>53571.314946470033</v>
      </c>
      <c r="M11" s="31">
        <f>IF(D48="",0,D48)</f>
        <v>50088.005065349134</v>
      </c>
      <c r="N11" s="31">
        <f>IF(D60="",0,D60)</f>
        <v>46513.042049126176</v>
      </c>
      <c r="O11" s="31">
        <f>IF(D72="",0,D72)</f>
        <v>42844.014312997948</v>
      </c>
      <c r="P11" s="31">
        <f>IF(D84="",0,D84)</f>
        <v>39078.44681834439</v>
      </c>
      <c r="Q11" s="31">
        <f>IF(D96="",0,D96)</f>
        <v>35213.799403126206</v>
      </c>
      <c r="R11" s="31">
        <f>IF(D108="",0,D108)</f>
        <v>31247.46506835238</v>
      </c>
      <c r="S11" s="31">
        <f>IF(D120="",0,D120)</f>
        <v>27176.768219460806</v>
      </c>
      <c r="T11" s="31">
        <f>IF(D132="",0,D132)</f>
        <v>22998.96286142592</v>
      </c>
      <c r="U11" s="31">
        <f>IF(D144="",0,D144)</f>
        <v>18711.23074637603</v>
      </c>
      <c r="V11" s="31">
        <f>IF(D156="",0,D156)</f>
        <v>14310.679472470365</v>
      </c>
      <c r="W11" s="31">
        <f>IF(D168="",0,D168)</f>
        <v>9794.3405327538203</v>
      </c>
      <c r="X11" s="31">
        <f>IF(D180="",0,D180)</f>
        <v>5159.1673126731039</v>
      </c>
      <c r="Y11" s="31">
        <f>IF(D192="",0,D192)</f>
        <v>402.03303490296821</v>
      </c>
      <c r="Z11" s="31">
        <f>IF(D204="",0,D204)</f>
        <v>0</v>
      </c>
      <c r="AA11" s="31">
        <f>IF(D216="",0,D216)</f>
        <v>0</v>
      </c>
      <c r="AB11" s="31">
        <f>IF(D228="",0,D228)</f>
        <v>0</v>
      </c>
      <c r="AC11" s="31">
        <f>IF(D240="",0,D240)</f>
        <v>0</v>
      </c>
      <c r="AD11" s="31">
        <f>IF(D252="",0,D252)</f>
        <v>0</v>
      </c>
      <c r="AE11" s="31">
        <f>IF(D264="",0,D264)</f>
        <v>0</v>
      </c>
      <c r="AF11" s="31">
        <f>IF(D276="",0,D276)</f>
        <v>0</v>
      </c>
      <c r="AG11" s="31">
        <f>IF(D288="",0,D288)</f>
        <v>0</v>
      </c>
      <c r="AH11" s="31">
        <f>IF(D303="",0,D303)</f>
        <v>0</v>
      </c>
      <c r="AI11" s="31">
        <f>IF(D2312="",0,D312)</f>
        <v>0</v>
      </c>
    </row>
    <row r="12" spans="2:35" ht="62.25" customHeight="1" x14ac:dyDescent="0.25">
      <c r="B12" s="32" t="s">
        <v>21</v>
      </c>
      <c r="C12" s="32" t="s">
        <v>22</v>
      </c>
      <c r="D12" s="32" t="s">
        <v>23</v>
      </c>
      <c r="E12" s="32" t="s">
        <v>24</v>
      </c>
      <c r="F12" s="32" t="s">
        <v>25</v>
      </c>
      <c r="G12" s="32" t="s">
        <v>26</v>
      </c>
      <c r="H12" s="32" t="s">
        <v>27</v>
      </c>
      <c r="J12" s="15"/>
      <c r="AA12" s="33"/>
    </row>
    <row r="13" spans="2:35" x14ac:dyDescent="0.25">
      <c r="B13" s="34">
        <f>IFERROR(IF(Prêt_Non_Payé*Valeurs_Entrées,Numéro_Paiement,""), "")</f>
        <v>1</v>
      </c>
      <c r="C13" s="35">
        <f>IFERROR(IF(Prêt_Non_Payé*Valeurs_Entrées,Date_Paiement,""), "")</f>
        <v>44593</v>
      </c>
      <c r="D13" s="36">
        <f>IFERROR(IF(Prêt_Non_Payé*Valeurs_Entrées,Solde_Départ,""), "")</f>
        <v>60000</v>
      </c>
      <c r="E13" s="36">
        <f>IFERROR(IF(Prêt_Non_Payé*Valeurs_Entrées,Paiement_Mensuel,""), "")</f>
        <v>402.90410647920658</v>
      </c>
      <c r="F13" s="36" t="str">
        <f>IFERROR(IF(Prêt_Non_Payé*Valeurs_Entrées,Capital,""), "")</f>
        <v/>
      </c>
      <c r="G13" s="36">
        <f>IFERROR(IF(Prêt_Non_Payé*Valeurs_Entrées,Intérêts,""), "")</f>
        <v>130</v>
      </c>
      <c r="H13" s="36">
        <f>IFERROR(IF(Prêt_Non_Payé*Valeurs_Entrées,Solde_Final,""), "")</f>
        <v>59727.095893520796</v>
      </c>
      <c r="J13" s="15"/>
      <c r="K13" s="33" t="s">
        <v>28</v>
      </c>
      <c r="L13" s="37">
        <f>SUM(K6:Z6)</f>
        <v>559</v>
      </c>
      <c r="N13" s="33" t="s">
        <v>29</v>
      </c>
      <c r="AA13" s="33"/>
    </row>
    <row r="14" spans="2:35" x14ac:dyDescent="0.25">
      <c r="B14" s="34">
        <f>IFERROR(IF(Prêt_Non_Payé*Valeurs_Entrées,Numéro_Paiement,""), "")</f>
        <v>2</v>
      </c>
      <c r="C14" s="35">
        <f>IFERROR(IF(Prêt_Non_Payé*Valeurs_Entrées,Date_Paiement,""), "")</f>
        <v>44621</v>
      </c>
      <c r="D14" s="36">
        <f>IFERROR(IF(Prêt_Non_Payé*Valeurs_Entrées,Solde_Départ,""), "")</f>
        <v>59727.095893520796</v>
      </c>
      <c r="E14" s="36">
        <f>IFERROR(IF(Prêt_Non_Payé*Valeurs_Entrées,Paiement_Mensuel,""), "")</f>
        <v>402.90410647920658</v>
      </c>
      <c r="F14" s="36" t="str">
        <f>IFERROR(IF(Prêt_Non_Payé*Valeurs_Entrées,Capital,""), "")</f>
        <v/>
      </c>
      <c r="G14" s="36">
        <f>IFERROR(IF(Prêt_Non_Payé*Valeurs_Entrées,Intérêts,""), "")</f>
        <v>129.40870776929506</v>
      </c>
      <c r="H14" s="36">
        <f>IFERROR(IF(Prêt_Non_Payé*Valeurs_Entrées,Solde_Final,""), "")</f>
        <v>59453.600494810882</v>
      </c>
      <c r="J14" s="15"/>
      <c r="K14" s="33" t="s">
        <v>30</v>
      </c>
      <c r="L14" s="37">
        <f>SUM(K7:Z7)</f>
        <v>816</v>
      </c>
      <c r="M14" s="38">
        <f>(L14-L13)/L13</f>
        <v>0.4597495527728086</v>
      </c>
      <c r="N14" s="33">
        <f>L14-L13</f>
        <v>257</v>
      </c>
      <c r="AA14" s="33"/>
    </row>
    <row r="15" spans="2:35" x14ac:dyDescent="0.25">
      <c r="B15" s="34">
        <f>IFERROR(IF(Prêt_Non_Payé*Valeurs_Entrées,Numéro_Paiement,""), "")</f>
        <v>3</v>
      </c>
      <c r="C15" s="35">
        <f>IFERROR(IF(Prêt_Non_Payé*Valeurs_Entrées,Date_Paiement,""), "")</f>
        <v>44652</v>
      </c>
      <c r="D15" s="36">
        <f>IFERROR(IF(Prêt_Non_Payé*Valeurs_Entrées,Solde_Départ,""), "")</f>
        <v>59453.600494810882</v>
      </c>
      <c r="E15" s="36">
        <f>IFERROR(IF(Prêt_Non_Payé*Valeurs_Entrées,Paiement_Mensuel,""), "")</f>
        <v>402.90410647920658</v>
      </c>
      <c r="F15" s="36" t="str">
        <f>IFERROR(IF(Prêt_Non_Payé*Valeurs_Entrées,Capital,""), "")</f>
        <v/>
      </c>
      <c r="G15" s="36">
        <f>IFERROR(IF(Prêt_Non_Payé*Valeurs_Entrées,Intérêts,""), "")</f>
        <v>128.81613440542358</v>
      </c>
      <c r="H15" s="36">
        <f>IFERROR(IF(Prêt_Non_Payé*Valeurs_Entrées,Solde_Final,""), "")</f>
        <v>59179.512522737088</v>
      </c>
      <c r="J15" s="15"/>
      <c r="L15" s="37">
        <f>L14+L13</f>
        <v>1375</v>
      </c>
      <c r="AA15" s="33"/>
    </row>
    <row r="16" spans="2:35" x14ac:dyDescent="0.25">
      <c r="B16" s="34">
        <f>IFERROR(IF(Prêt_Non_Payé*Valeurs_Entrées,Numéro_Paiement,""), "")</f>
        <v>4</v>
      </c>
      <c r="C16" s="35">
        <f>IFERROR(IF(Prêt_Non_Payé*Valeurs_Entrées,Date_Paiement,""), "")</f>
        <v>44682</v>
      </c>
      <c r="D16" s="36">
        <f>IFERROR(IF(Prêt_Non_Payé*Valeurs_Entrées,Solde_Départ,""), "")</f>
        <v>59179.512522737088</v>
      </c>
      <c r="E16" s="36">
        <f>IFERROR(IF(Prêt_Non_Payé*Valeurs_Entrées,Paiement_Mensuel,""), "")</f>
        <v>402.90410647920658</v>
      </c>
      <c r="F16" s="36" t="str">
        <f>IFERROR(IF(Prêt_Non_Payé*Valeurs_Entrées,Capital,""), "")</f>
        <v/>
      </c>
      <c r="G16" s="36">
        <f>IFERROR(IF(Prêt_Non_Payé*Valeurs_Entrées,Intérêts,""), "")</f>
        <v>128.22227713259704</v>
      </c>
      <c r="H16" s="36">
        <f>IFERROR(IF(Prêt_Non_Payé*Valeurs_Entrées,Solde_Final,""), "")</f>
        <v>58904.83069339049</v>
      </c>
      <c r="J16" s="15"/>
      <c r="L16" s="30"/>
      <c r="AA16" s="33"/>
    </row>
    <row r="17" spans="2:10" x14ac:dyDescent="0.25">
      <c r="B17" s="34">
        <f>IFERROR(IF(Prêt_Non_Payé*Valeurs_Entrées,Numéro_Paiement,""), "")</f>
        <v>5</v>
      </c>
      <c r="C17" s="35">
        <f>IFERROR(IF(Prêt_Non_Payé*Valeurs_Entrées,Date_Paiement,""), "")</f>
        <v>44713</v>
      </c>
      <c r="D17" s="36">
        <f>IFERROR(IF(Prêt_Non_Payé*Valeurs_Entrées,Solde_Départ,""), "")</f>
        <v>58904.83069339049</v>
      </c>
      <c r="E17" s="36">
        <f>IFERROR(IF(Prêt_Non_Payé*Valeurs_Entrées,Paiement_Mensuel,""), "")</f>
        <v>402.90410647920658</v>
      </c>
      <c r="F17" s="36" t="str">
        <f>IFERROR(IF(Prêt_Non_Payé*Valeurs_Entrées,Capital,""), "")</f>
        <v/>
      </c>
      <c r="G17" s="36">
        <f>IFERROR(IF(Prêt_Non_Payé*Valeurs_Entrées,Intérêts,""), "")</f>
        <v>127.62713316901274</v>
      </c>
      <c r="H17" s="36">
        <f>IFERROR(IF(Prêt_Non_Payé*Valeurs_Entrées,Solde_Final,""), "")</f>
        <v>58629.553720080294</v>
      </c>
      <c r="J17" s="39"/>
    </row>
    <row r="18" spans="2:10" x14ac:dyDescent="0.25">
      <c r="B18" s="34">
        <f>IFERROR(IF(Prêt_Non_Payé*Valeurs_Entrées,Numéro_Paiement,""), "")</f>
        <v>6</v>
      </c>
      <c r="C18" s="35">
        <f>IFERROR(IF(Prêt_Non_Payé*Valeurs_Entrées,Date_Paiement,""), "")</f>
        <v>44743</v>
      </c>
      <c r="D18" s="36">
        <f>IFERROR(IF(Prêt_Non_Payé*Valeurs_Entrées,Solde_Départ,""), "")</f>
        <v>58629.553720080294</v>
      </c>
      <c r="E18" s="36">
        <f>IFERROR(IF(Prêt_Non_Payé*Valeurs_Entrées,Paiement_Mensuel,""), "")</f>
        <v>402.90410647920658</v>
      </c>
      <c r="F18" s="36" t="str">
        <f>IFERROR(IF(Prêt_Non_Payé*Valeurs_Entrées,Capital,""), "")</f>
        <v/>
      </c>
      <c r="G18" s="36">
        <f>IFERROR(IF(Prêt_Non_Payé*Valeurs_Entrées,Intérêts,""), "")</f>
        <v>127.03069972684067</v>
      </c>
      <c r="H18" s="36">
        <f>IFERROR(IF(Prêt_Non_Payé*Valeurs_Entrées,Solde_Final,""), "")</f>
        <v>58353.680313327932</v>
      </c>
    </row>
    <row r="19" spans="2:10" x14ac:dyDescent="0.25">
      <c r="B19" s="34">
        <f>IFERROR(IF(Prêt_Non_Payé*Valeurs_Entrées,Numéro_Paiement,""), "")</f>
        <v>7</v>
      </c>
      <c r="C19" s="35">
        <f>IFERROR(IF(Prêt_Non_Payé*Valeurs_Entrées,Date_Paiement,""), "")</f>
        <v>44774</v>
      </c>
      <c r="D19" s="36">
        <f>IFERROR(IF(Prêt_Non_Payé*Valeurs_Entrées,Solde_Départ,""), "")</f>
        <v>58353.680313327932</v>
      </c>
      <c r="E19" s="36">
        <f>IFERROR(IF(Prêt_Non_Payé*Valeurs_Entrées,Paiement_Mensuel,""), "")</f>
        <v>402.90410647920658</v>
      </c>
      <c r="F19" s="36" t="str">
        <f>IFERROR(IF(Prêt_Non_Payé*Valeurs_Entrées,Capital,""), "")</f>
        <v/>
      </c>
      <c r="G19" s="36">
        <f>IFERROR(IF(Prêt_Non_Payé*Valeurs_Entrées,Intérêts,""), "")</f>
        <v>126.43297401221055</v>
      </c>
      <c r="H19" s="36">
        <f>IFERROR(IF(Prêt_Non_Payé*Valeurs_Entrées,Solde_Final,""), "")</f>
        <v>58077.209180860911</v>
      </c>
    </row>
    <row r="20" spans="2:10" x14ac:dyDescent="0.25">
      <c r="B20" s="34">
        <f>IFERROR(IF(Prêt_Non_Payé*Valeurs_Entrées,Numéro_Paiement,""), "")</f>
        <v>8</v>
      </c>
      <c r="C20" s="35">
        <f>IFERROR(IF(Prêt_Non_Payé*Valeurs_Entrées,Date_Paiement,""), "")</f>
        <v>44805</v>
      </c>
      <c r="D20" s="36">
        <f>IFERROR(IF(Prêt_Non_Payé*Valeurs_Entrées,Solde_Départ,""), "")</f>
        <v>58077.209180860911</v>
      </c>
      <c r="E20" s="36">
        <f>IFERROR(IF(Prêt_Non_Payé*Valeurs_Entrées,Paiement_Mensuel,""), "")</f>
        <v>402.90410647920658</v>
      </c>
      <c r="F20" s="36" t="str">
        <f>IFERROR(IF(Prêt_Non_Payé*Valeurs_Entrées,Capital,""), "")</f>
        <v/>
      </c>
      <c r="G20" s="36">
        <f>IFERROR(IF(Prêt_Non_Payé*Valeurs_Entrées,Intérêts,""), "")</f>
        <v>125.8339532251987</v>
      </c>
      <c r="H20" s="36">
        <f>IFERROR(IF(Prêt_Non_Payé*Valeurs_Entrées,Solde_Final,""), "")</f>
        <v>57800.1390276069</v>
      </c>
    </row>
    <row r="21" spans="2:10" x14ac:dyDescent="0.25">
      <c r="B21" s="34">
        <f>IFERROR(IF(Prêt_Non_Payé*Valeurs_Entrées,Numéro_Paiement,""), "")</f>
        <v>9</v>
      </c>
      <c r="C21" s="35">
        <f>IFERROR(IF(Prêt_Non_Payé*Valeurs_Entrées,Date_Paiement,""), "")</f>
        <v>44835</v>
      </c>
      <c r="D21" s="36">
        <f>IFERROR(IF(Prêt_Non_Payé*Valeurs_Entrées,Solde_Départ,""), "")</f>
        <v>57800.1390276069</v>
      </c>
      <c r="E21" s="36">
        <f>IFERROR(IF(Prêt_Non_Payé*Valeurs_Entrées,Paiement_Mensuel,""), "")</f>
        <v>402.90410647920658</v>
      </c>
      <c r="F21" s="36" t="str">
        <f>IFERROR(IF(Prêt_Non_Payé*Valeurs_Entrées,Capital,""), "")</f>
        <v/>
      </c>
      <c r="G21" s="36">
        <f>IFERROR(IF(Prêt_Non_Payé*Valeurs_Entrées,Intérêts,""), "")</f>
        <v>125.23363455981502</v>
      </c>
      <c r="H21" s="36">
        <f>IFERROR(IF(Prêt_Non_Payé*Valeurs_Entrées,Solde_Final,""), "")</f>
        <v>57522.468555687505</v>
      </c>
    </row>
    <row r="22" spans="2:10" x14ac:dyDescent="0.25">
      <c r="B22" s="34">
        <f>IFERROR(IF(Prêt_Non_Payé*Valeurs_Entrées,Numéro_Paiement,""), "")</f>
        <v>10</v>
      </c>
      <c r="C22" s="35">
        <f>IFERROR(IF(Prêt_Non_Payé*Valeurs_Entrées,Date_Paiement,""), "")</f>
        <v>44866</v>
      </c>
      <c r="D22" s="36">
        <f>IFERROR(IF(Prêt_Non_Payé*Valeurs_Entrées,Solde_Départ,""), "")</f>
        <v>57522.468555687505</v>
      </c>
      <c r="E22" s="36">
        <f>IFERROR(IF(Prêt_Non_Payé*Valeurs_Entrées,Paiement_Mensuel,""), "")</f>
        <v>402.90410647920658</v>
      </c>
      <c r="F22" s="36" t="str">
        <f>IFERROR(IF(Prêt_Non_Payé*Valeurs_Entrées,Capital,""), "")</f>
        <v/>
      </c>
      <c r="G22" s="36">
        <f>IFERROR(IF(Prêt_Non_Payé*Valeurs_Entrées,Intérêts,""), "")</f>
        <v>124.63201520398967</v>
      </c>
      <c r="H22" s="36">
        <f>IFERROR(IF(Prêt_Non_Payé*Valeurs_Entrées,Solde_Final,""), "")</f>
        <v>57244.196464412293</v>
      </c>
    </row>
    <row r="23" spans="2:10" x14ac:dyDescent="0.25">
      <c r="B23" s="34">
        <f>IFERROR(IF(Prêt_Non_Payé*Valeurs_Entrées,Numéro_Paiement,""), "")</f>
        <v>11</v>
      </c>
      <c r="C23" s="35">
        <f>IFERROR(IF(Prêt_Non_Payé*Valeurs_Entrées,Date_Paiement,""), "")</f>
        <v>44896</v>
      </c>
      <c r="D23" s="36">
        <f>IFERROR(IF(Prêt_Non_Payé*Valeurs_Entrées,Solde_Départ,""), "")</f>
        <v>57244.196464412293</v>
      </c>
      <c r="E23" s="36">
        <f>IFERROR(IF(Prêt_Non_Payé*Valeurs_Entrées,Paiement_Mensuel,""), "")</f>
        <v>402.90410647920658</v>
      </c>
      <c r="F23" s="36" t="str">
        <f>IFERROR(IF(Prêt_Non_Payé*Valeurs_Entrées,Capital,""), "")</f>
        <v/>
      </c>
      <c r="G23" s="36">
        <f>IFERROR(IF(Prêt_Non_Payé*Valeurs_Entrées,Intérêts,""), "")</f>
        <v>124.02909233956002</v>
      </c>
      <c r="H23" s="36">
        <f>IFERROR(IF(Prêt_Non_Payé*Valeurs_Entrées,Solde_Final,""), "")</f>
        <v>56965.321450272641</v>
      </c>
    </row>
    <row r="24" spans="2:10" x14ac:dyDescent="0.25">
      <c r="B24" s="34">
        <f>IFERROR(IF(Prêt_Non_Payé*Valeurs_Entrées,Numéro_Paiement,""), "")</f>
        <v>12</v>
      </c>
      <c r="C24" s="35">
        <f>IFERROR(IF(Prêt_Non_Payé*Valeurs_Entrées,Date_Paiement,""), "")</f>
        <v>44927</v>
      </c>
      <c r="D24" s="36">
        <f>IFERROR(IF(Prêt_Non_Payé*Valeurs_Entrées,Solde_Départ,""), "")</f>
        <v>56965.321450272641</v>
      </c>
      <c r="E24" s="36">
        <f>IFERROR(IF(Prêt_Non_Payé*Valeurs_Entrées,Paiement_Mensuel,""), "")</f>
        <v>402.90410647920658</v>
      </c>
      <c r="F24" s="36" t="str">
        <f>IFERROR(IF(Prêt_Non_Payé*Valeurs_Entrées,Capital,""), "")</f>
        <v/>
      </c>
      <c r="G24" s="36">
        <f>IFERROR(IF(Prêt_Non_Payé*Valeurs_Entrées,Intérêts,""), "")</f>
        <v>123.42486314225746</v>
      </c>
      <c r="H24" s="36">
        <f>IFERROR(IF(Prêt_Non_Payé*Valeurs_Entrées,Solde_Final,""), "")</f>
        <v>56685.842206935711</v>
      </c>
    </row>
    <row r="25" spans="2:10" x14ac:dyDescent="0.25">
      <c r="B25" s="34">
        <f>IFERROR(IF(Prêt_Non_Payé*Valeurs_Entrées,Numéro_Paiement,""), "")</f>
        <v>13</v>
      </c>
      <c r="C25" s="35">
        <f>IFERROR(IF(Prêt_Non_Payé*Valeurs_Entrées,Date_Paiement,""), "")</f>
        <v>44958</v>
      </c>
      <c r="D25" s="36">
        <f>IFERROR(IF(Prêt_Non_Payé*Valeurs_Entrées,Solde_Départ,""), "")</f>
        <v>56685.842206935711</v>
      </c>
      <c r="E25" s="36">
        <f>IFERROR(IF(Prêt_Non_Payé*Valeurs_Entrées,Paiement_Mensuel,""), "")</f>
        <v>402.90410647920658</v>
      </c>
      <c r="F25" s="36" t="str">
        <f>IFERROR(IF(Prêt_Non_Payé*Valeurs_Entrées,Capital,""), "")</f>
        <v/>
      </c>
      <c r="G25" s="36">
        <f>IFERROR(IF(Prêt_Non_Payé*Valeurs_Entrées,Intérêts,""), "")</f>
        <v>122.81932478169408</v>
      </c>
      <c r="H25" s="36">
        <f>IFERROR(IF(Prêt_Non_Payé*Valeurs_Entrées,Solde_Final,""), "")</f>
        <v>56405.757425238196</v>
      </c>
    </row>
    <row r="26" spans="2:10" x14ac:dyDescent="0.25">
      <c r="B26" s="34">
        <f>IFERROR(IF(Prêt_Non_Payé*Valeurs_Entrées,Numéro_Paiement,""), "")</f>
        <v>14</v>
      </c>
      <c r="C26" s="35">
        <f>IFERROR(IF(Prêt_Non_Payé*Valeurs_Entrées,Date_Paiement,""), "")</f>
        <v>44986</v>
      </c>
      <c r="D26" s="36">
        <f>IFERROR(IF(Prêt_Non_Payé*Valeurs_Entrées,Solde_Départ,""), "")</f>
        <v>56405.757425238196</v>
      </c>
      <c r="E26" s="36">
        <f>IFERROR(IF(Prêt_Non_Payé*Valeurs_Entrées,Paiement_Mensuel,""), "")</f>
        <v>402.90410647920658</v>
      </c>
      <c r="F26" s="36" t="str">
        <f>IFERROR(IF(Prêt_Non_Payé*Valeurs_Entrées,Capital,""), "")</f>
        <v/>
      </c>
      <c r="G26" s="36">
        <f>IFERROR(IF(Prêt_Non_Payé*Valeurs_Entrées,Intérêts,""), "")</f>
        <v>122.21247442134947</v>
      </c>
      <c r="H26" s="36">
        <f>IFERROR(IF(Prêt_Non_Payé*Valeurs_Entrées,Solde_Final,""), "")</f>
        <v>56125.065793180329</v>
      </c>
    </row>
    <row r="27" spans="2:10" x14ac:dyDescent="0.25">
      <c r="B27" s="34">
        <f>IFERROR(IF(Prêt_Non_Payé*Valeurs_Entrées,Numéro_Paiement,""), "")</f>
        <v>15</v>
      </c>
      <c r="C27" s="35">
        <f>IFERROR(IF(Prêt_Non_Payé*Valeurs_Entrées,Date_Paiement,""), "")</f>
        <v>45017</v>
      </c>
      <c r="D27" s="36">
        <f>IFERROR(IF(Prêt_Non_Payé*Valeurs_Entrées,Solde_Départ,""), "")</f>
        <v>56125.065793180329</v>
      </c>
      <c r="E27" s="36">
        <f>IFERROR(IF(Prêt_Non_Payé*Valeurs_Entrées,Paiement_Mensuel,""), "")</f>
        <v>402.90410647920658</v>
      </c>
      <c r="F27" s="36" t="str">
        <f>IFERROR(IF(Prêt_Non_Payé*Valeurs_Entrées,Capital,""), "")</f>
        <v/>
      </c>
      <c r="G27" s="36">
        <f>IFERROR(IF(Prêt_Non_Payé*Valeurs_Entrées,Intérêts,""), "")</f>
        <v>121.60430921855745</v>
      </c>
      <c r="H27" s="36">
        <f>IFERROR(IF(Prêt_Non_Payé*Valeurs_Entrées,Solde_Final,""), "")</f>
        <v>55843.765995919668</v>
      </c>
    </row>
    <row r="28" spans="2:10" x14ac:dyDescent="0.25">
      <c r="B28" s="34">
        <f>IFERROR(IF(Prêt_Non_Payé*Valeurs_Entrées,Numéro_Paiement,""), "")</f>
        <v>16</v>
      </c>
      <c r="C28" s="35">
        <f>IFERROR(IF(Prêt_Non_Payé*Valeurs_Entrées,Date_Paiement,""), "")</f>
        <v>45047</v>
      </c>
      <c r="D28" s="36">
        <f>IFERROR(IF(Prêt_Non_Payé*Valeurs_Entrées,Solde_Départ,""), "")</f>
        <v>55843.765995919668</v>
      </c>
      <c r="E28" s="36">
        <f>IFERROR(IF(Prêt_Non_Payé*Valeurs_Entrées,Paiement_Mensuel,""), "")</f>
        <v>402.90410647920658</v>
      </c>
      <c r="F28" s="36" t="str">
        <f>IFERROR(IF(Prêt_Non_Payé*Valeurs_Entrées,Capital,""), "")</f>
        <v/>
      </c>
      <c r="G28" s="36">
        <f>IFERROR(IF(Prêt_Non_Payé*Valeurs_Entrées,Intérêts,""), "")</f>
        <v>120.99482632449271</v>
      </c>
      <c r="H28" s="36">
        <f>IFERROR(IF(Prêt_Non_Payé*Valeurs_Entrées,Solde_Final,""), "")</f>
        <v>55561.856715764938</v>
      </c>
    </row>
    <row r="29" spans="2:10" x14ac:dyDescent="0.25">
      <c r="B29" s="34">
        <f>IFERROR(IF(Prêt_Non_Payé*Valeurs_Entrées,Numéro_Paiement,""), "")</f>
        <v>17</v>
      </c>
      <c r="C29" s="35">
        <f>IFERROR(IF(Prêt_Non_Payé*Valeurs_Entrées,Date_Paiement,""), "")</f>
        <v>45078</v>
      </c>
      <c r="D29" s="36">
        <f>IFERROR(IF(Prêt_Non_Payé*Valeurs_Entrées,Solde_Départ,""), "")</f>
        <v>55561.856715764938</v>
      </c>
      <c r="E29" s="36">
        <f>IFERROR(IF(Prêt_Non_Payé*Valeurs_Entrées,Paiement_Mensuel,""), "")</f>
        <v>402.90410647920658</v>
      </c>
      <c r="F29" s="36" t="str">
        <f>IFERROR(IF(Prêt_Non_Payé*Valeurs_Entrées,Capital,""), "")</f>
        <v/>
      </c>
      <c r="G29" s="36">
        <f>IFERROR(IF(Prêt_Non_Payé*Valeurs_Entrées,Intérêts,""), "")</f>
        <v>120.3840228841575</v>
      </c>
      <c r="H29" s="36">
        <f>IFERROR(IF(Prêt_Non_Payé*Valeurs_Entrées,Solde_Final,""), "")</f>
        <v>55279.336632169892</v>
      </c>
      <c r="J29" s="33">
        <f>IF(SUM(G13:G23)="",0,SUM(G13:G23))</f>
        <v>1397.2666215439431</v>
      </c>
    </row>
    <row r="30" spans="2:10" x14ac:dyDescent="0.25">
      <c r="B30" s="34">
        <f>IFERROR(IF(Prêt_Non_Payé*Valeurs_Entrées,Numéro_Paiement,""), "")</f>
        <v>18</v>
      </c>
      <c r="C30" s="35">
        <f>IFERROR(IF(Prêt_Non_Payé*Valeurs_Entrées,Date_Paiement,""), "")</f>
        <v>45108</v>
      </c>
      <c r="D30" s="36">
        <f>IFERROR(IF(Prêt_Non_Payé*Valeurs_Entrées,Solde_Départ,""), "")</f>
        <v>55279.336632169892</v>
      </c>
      <c r="E30" s="36">
        <f>IFERROR(IF(Prêt_Non_Payé*Valeurs_Entrées,Paiement_Mensuel,""), "")</f>
        <v>402.90410647920658</v>
      </c>
      <c r="F30" s="36" t="str">
        <f>IFERROR(IF(Prêt_Non_Payé*Valeurs_Entrées,Capital,""), "")</f>
        <v/>
      </c>
      <c r="G30" s="36">
        <f>IFERROR(IF(Prêt_Non_Payé*Valeurs_Entrées,Intérêts,""), "")</f>
        <v>119.77189603636823</v>
      </c>
      <c r="H30" s="36">
        <f>IFERROR(IF(Prêt_Non_Payé*Valeurs_Entrées,Solde_Final,""), "")</f>
        <v>54996.20442172706</v>
      </c>
    </row>
    <row r="31" spans="2:10" x14ac:dyDescent="0.25">
      <c r="B31" s="34">
        <f>IFERROR(IF(Prêt_Non_Payé*Valeurs_Entrées,Numéro_Paiement,""), "")</f>
        <v>19</v>
      </c>
      <c r="C31" s="35">
        <f>IFERROR(IF(Prêt_Non_Payé*Valeurs_Entrées,Date_Paiement,""), "")</f>
        <v>45139</v>
      </c>
      <c r="D31" s="36">
        <f>IFERROR(IF(Prêt_Non_Payé*Valeurs_Entrées,Solde_Départ,""), "")</f>
        <v>54996.20442172706</v>
      </c>
      <c r="E31" s="36">
        <f>IFERROR(IF(Prêt_Non_Payé*Valeurs_Entrées,Paiement_Mensuel,""), "")</f>
        <v>402.90410647920658</v>
      </c>
      <c r="F31" s="36" t="str">
        <f>IFERROR(IF(Prêt_Non_Payé*Valeurs_Entrées,Capital,""), "")</f>
        <v/>
      </c>
      <c r="G31" s="36">
        <f>IFERROR(IF(Prêt_Non_Payé*Valeurs_Entrées,Intérêts,""), "")</f>
        <v>119.15844291374206</v>
      </c>
      <c r="H31" s="36">
        <f>IFERROR(IF(Prêt_Non_Payé*Valeurs_Entrées,Solde_Final,""), "")</f>
        <v>54712.458758161585</v>
      </c>
    </row>
    <row r="32" spans="2:10" x14ac:dyDescent="0.25">
      <c r="B32" s="34">
        <f>IFERROR(IF(Prêt_Non_Payé*Valeurs_Entrées,Numéro_Paiement,""), "")</f>
        <v>20</v>
      </c>
      <c r="C32" s="35">
        <f>IFERROR(IF(Prêt_Non_Payé*Valeurs_Entrées,Date_Paiement,""), "")</f>
        <v>45170</v>
      </c>
      <c r="D32" s="36">
        <f>IFERROR(IF(Prêt_Non_Payé*Valeurs_Entrées,Solde_Départ,""), "")</f>
        <v>54712.458758161585</v>
      </c>
      <c r="E32" s="36">
        <f>IFERROR(IF(Prêt_Non_Payé*Valeurs_Entrées,Paiement_Mensuel,""), "")</f>
        <v>402.90410647920658</v>
      </c>
      <c r="F32" s="36" t="str">
        <f>IFERROR(IF(Prêt_Non_Payé*Valeurs_Entrées,Capital,""), "")</f>
        <v/>
      </c>
      <c r="G32" s="36">
        <f>IFERROR(IF(Prêt_Non_Payé*Valeurs_Entrées,Intérêts,""), "")</f>
        <v>118.54366064268358</v>
      </c>
      <c r="H32" s="36">
        <f>IFERROR(IF(Prêt_Non_Payé*Valeurs_Entrées,Solde_Final,""), "")</f>
        <v>54428.098312325063</v>
      </c>
    </row>
    <row r="33" spans="2:10" x14ac:dyDescent="0.25">
      <c r="B33" s="34">
        <f>IFERROR(IF(Prêt_Non_Payé*Valeurs_Entrées,Numéro_Paiement,""), "")</f>
        <v>21</v>
      </c>
      <c r="C33" s="35">
        <f>IFERROR(IF(Prêt_Non_Payé*Valeurs_Entrées,Date_Paiement,""), "")</f>
        <v>45200</v>
      </c>
      <c r="D33" s="36">
        <f>IFERROR(IF(Prêt_Non_Payé*Valeurs_Entrées,Solde_Départ,""), "")</f>
        <v>54428.098312325063</v>
      </c>
      <c r="E33" s="36">
        <f>IFERROR(IF(Prêt_Non_Payé*Valeurs_Entrées,Paiement_Mensuel,""), "")</f>
        <v>402.90410647920658</v>
      </c>
      <c r="F33" s="36" t="str">
        <f>IFERROR(IF(Prêt_Non_Payé*Valeurs_Entrées,Capital,""), "")</f>
        <v/>
      </c>
      <c r="G33" s="36">
        <f>IFERROR(IF(Prêt_Non_Payé*Valeurs_Entrées,Intérêts,""), "")</f>
        <v>117.92754634337109</v>
      </c>
      <c r="H33" s="36">
        <f>IFERROR(IF(Prêt_Non_Payé*Valeurs_Entrées,Solde_Final,""), "")</f>
        <v>54143.12175218921</v>
      </c>
    </row>
    <row r="34" spans="2:10" x14ac:dyDescent="0.25">
      <c r="B34" s="34">
        <f>IFERROR(IF(Prêt_Non_Payé*Valeurs_Entrées,Numéro_Paiement,""), "")</f>
        <v>22</v>
      </c>
      <c r="C34" s="35">
        <f>IFERROR(IF(Prêt_Non_Payé*Valeurs_Entrées,Date_Paiement,""), "")</f>
        <v>45231</v>
      </c>
      <c r="D34" s="36">
        <f>IFERROR(IF(Prêt_Non_Payé*Valeurs_Entrées,Solde_Départ,""), "")</f>
        <v>54143.12175218921</v>
      </c>
      <c r="E34" s="36">
        <f>IFERROR(IF(Prêt_Non_Payé*Valeurs_Entrées,Paiement_Mensuel,""), "")</f>
        <v>402.90410647920658</v>
      </c>
      <c r="F34" s="36" t="str">
        <f>IFERROR(IF(Prêt_Non_Payé*Valeurs_Entrées,Capital,""), "")</f>
        <v/>
      </c>
      <c r="G34" s="36">
        <f>IFERROR(IF(Prêt_Non_Payé*Valeurs_Entrées,Intérêts,""), "")</f>
        <v>117.31009712974345</v>
      </c>
      <c r="H34" s="36">
        <f>IFERROR(IF(Prêt_Non_Payé*Valeurs_Entrées,Solde_Final,""), "")</f>
        <v>53857.527742839768</v>
      </c>
    </row>
    <row r="35" spans="2:10" x14ac:dyDescent="0.25">
      <c r="B35" s="34">
        <f>IFERROR(IF(Prêt_Non_Payé*Valeurs_Entrées,Numéro_Paiement,""), "")</f>
        <v>23</v>
      </c>
      <c r="C35" s="35">
        <f>IFERROR(IF(Prêt_Non_Payé*Valeurs_Entrées,Date_Paiement,""), "")</f>
        <v>45261</v>
      </c>
      <c r="D35" s="36">
        <f>IFERROR(IF(Prêt_Non_Payé*Valeurs_Entrées,Solde_Départ,""), "")</f>
        <v>53857.527742839768</v>
      </c>
      <c r="E35" s="36">
        <f>IFERROR(IF(Prêt_Non_Payé*Valeurs_Entrées,Paiement_Mensuel,""), "")</f>
        <v>402.90410647920658</v>
      </c>
      <c r="F35" s="36" t="str">
        <f>IFERROR(IF(Prêt_Non_Payé*Valeurs_Entrées,Capital,""), "")</f>
        <v/>
      </c>
      <c r="G35" s="36">
        <f>IFERROR(IF(Prêt_Non_Payé*Valeurs_Entrées,Intérêts,""), "")</f>
        <v>116.69131010948627</v>
      </c>
      <c r="H35" s="36">
        <f>IFERROR(IF(Prêt_Non_Payé*Valeurs_Entrées,Solde_Final,""), "")</f>
        <v>53571.314946470033</v>
      </c>
    </row>
    <row r="36" spans="2:10" x14ac:dyDescent="0.25">
      <c r="B36" s="34">
        <f>IFERROR(IF(Prêt_Non_Payé*Valeurs_Entrées,Numéro_Paiement,""), "")</f>
        <v>24</v>
      </c>
      <c r="C36" s="35">
        <f>IFERROR(IF(Prêt_Non_Payé*Valeurs_Entrées,Date_Paiement,""), "")</f>
        <v>45292</v>
      </c>
      <c r="D36" s="36">
        <f>IFERROR(IF(Prêt_Non_Payé*Valeurs_Entrées,Solde_Départ,""), "")</f>
        <v>53571.314946470033</v>
      </c>
      <c r="E36" s="36">
        <f>IFERROR(IF(Prêt_Non_Payé*Valeurs_Entrées,Paiement_Mensuel,""), "")</f>
        <v>402.90410647920658</v>
      </c>
      <c r="F36" s="36" t="str">
        <f>IFERROR(IF(Prêt_Non_Payé*Valeurs_Entrées,Capital,""), "")</f>
        <v/>
      </c>
      <c r="G36" s="36">
        <f>IFERROR(IF(Prêt_Non_Payé*Valeurs_Entrées,Intérêts,""), "")</f>
        <v>116.07118238401856</v>
      </c>
      <c r="H36" s="36">
        <f>IFERROR(IF(Prêt_Non_Payé*Valeurs_Entrées,Solde_Final,""), "")</f>
        <v>53284.482022374825</v>
      </c>
    </row>
    <row r="37" spans="2:10" x14ac:dyDescent="0.25">
      <c r="B37" s="34">
        <f>IFERROR(IF(Prêt_Non_Payé*Valeurs_Entrées,Numéro_Paiement,""), "")</f>
        <v>25</v>
      </c>
      <c r="C37" s="35">
        <f>IFERROR(IF(Prêt_Non_Payé*Valeurs_Entrées,Date_Paiement,""), "")</f>
        <v>45323</v>
      </c>
      <c r="D37" s="36">
        <f>IFERROR(IF(Prêt_Non_Payé*Valeurs_Entrées,Solde_Départ,""), "")</f>
        <v>53284.482022374825</v>
      </c>
      <c r="E37" s="36">
        <f>IFERROR(IF(Prêt_Non_Payé*Valeurs_Entrées,Paiement_Mensuel,""), "")</f>
        <v>402.90410647920658</v>
      </c>
      <c r="F37" s="36" t="str">
        <f>IFERROR(IF(Prêt_Non_Payé*Valeurs_Entrées,Capital,""), "")</f>
        <v/>
      </c>
      <c r="G37" s="36">
        <f>IFERROR(IF(Prêt_Non_Payé*Valeurs_Entrées,Intérêts,""), "")</f>
        <v>115.44971104847899</v>
      </c>
      <c r="H37" s="36">
        <f>IFERROR(IF(Prêt_Non_Payé*Valeurs_Entrées,Solde_Final,""), "")</f>
        <v>52997.027626944109</v>
      </c>
    </row>
    <row r="38" spans="2:10" x14ac:dyDescent="0.25">
      <c r="B38" s="34">
        <f>IFERROR(IF(Prêt_Non_Payé*Valeurs_Entrées,Numéro_Paiement,""), "")</f>
        <v>26</v>
      </c>
      <c r="C38" s="35">
        <f>IFERROR(IF(Prêt_Non_Payé*Valeurs_Entrées,Date_Paiement,""), "")</f>
        <v>45352</v>
      </c>
      <c r="D38" s="36">
        <f>IFERROR(IF(Prêt_Non_Payé*Valeurs_Entrées,Solde_Départ,""), "")</f>
        <v>52997.027626944109</v>
      </c>
      <c r="E38" s="36">
        <f>IFERROR(IF(Prêt_Non_Payé*Valeurs_Entrées,Paiement_Mensuel,""), "")</f>
        <v>402.90410647920658</v>
      </c>
      <c r="F38" s="36" t="str">
        <f>IFERROR(IF(Prêt_Non_Payé*Valeurs_Entrées,Capital,""), "")</f>
        <v/>
      </c>
      <c r="G38" s="36">
        <f>IFERROR(IF(Prêt_Non_Payé*Valeurs_Entrées,Intérêts,""), "")</f>
        <v>114.82689319171239</v>
      </c>
      <c r="H38" s="36">
        <f>IFERROR(IF(Prêt_Non_Payé*Valeurs_Entrées,Solde_Final,""), "")</f>
        <v>52708.950413656625</v>
      </c>
    </row>
    <row r="39" spans="2:10" x14ac:dyDescent="0.25">
      <c r="B39" s="34">
        <f>IFERROR(IF(Prêt_Non_Payé*Valeurs_Entrées,Numéro_Paiement,""), "")</f>
        <v>27</v>
      </c>
      <c r="C39" s="35">
        <f>IFERROR(IF(Prêt_Non_Payé*Valeurs_Entrées,Date_Paiement,""), "")</f>
        <v>45383</v>
      </c>
      <c r="D39" s="36">
        <f>IFERROR(IF(Prêt_Non_Payé*Valeurs_Entrées,Solde_Départ,""), "")</f>
        <v>52708.950413656625</v>
      </c>
      <c r="E39" s="36">
        <f>IFERROR(IF(Prêt_Non_Payé*Valeurs_Entrées,Paiement_Mensuel,""), "")</f>
        <v>402.90410647920658</v>
      </c>
      <c r="F39" s="36" t="str">
        <f>IFERROR(IF(Prêt_Non_Payé*Valeurs_Entrées,Capital,""), "")</f>
        <v/>
      </c>
      <c r="G39" s="36">
        <f>IFERROR(IF(Prêt_Non_Payé*Valeurs_Entrées,Intérêts,""), "")</f>
        <v>114.20272589625617</v>
      </c>
      <c r="H39" s="36">
        <f>IFERROR(IF(Prêt_Non_Payé*Valeurs_Entrées,Solde_Final,""), "")</f>
        <v>52420.249033073647</v>
      </c>
    </row>
    <row r="40" spans="2:10" x14ac:dyDescent="0.25">
      <c r="B40" s="34">
        <f>IFERROR(IF(Prêt_Non_Payé*Valeurs_Entrées,Numéro_Paiement,""), "")</f>
        <v>28</v>
      </c>
      <c r="C40" s="35">
        <f>IFERROR(IF(Prêt_Non_Payé*Valeurs_Entrées,Date_Paiement,""), "")</f>
        <v>45413</v>
      </c>
      <c r="D40" s="36">
        <f>IFERROR(IF(Prêt_Non_Payé*Valeurs_Entrées,Solde_Départ,""), "")</f>
        <v>52420.249033073647</v>
      </c>
      <c r="E40" s="36">
        <f>IFERROR(IF(Prêt_Non_Payé*Valeurs_Entrées,Paiement_Mensuel,""), "")</f>
        <v>402.90410647920658</v>
      </c>
      <c r="F40" s="36" t="str">
        <f>IFERROR(IF(Prêt_Non_Payé*Valeurs_Entrées,Capital,""), "")</f>
        <v/>
      </c>
      <c r="G40" s="36">
        <f>IFERROR(IF(Prêt_Non_Payé*Valeurs_Entrées,Intérêts,""), "")</f>
        <v>113.57720623832644</v>
      </c>
      <c r="H40" s="36">
        <f>IFERROR(IF(Prêt_Non_Payé*Valeurs_Entrées,Solde_Final,""), "")</f>
        <v>52130.922132832791</v>
      </c>
    </row>
    <row r="41" spans="2:10" x14ac:dyDescent="0.25">
      <c r="B41" s="34">
        <f>IFERROR(IF(Prêt_Non_Payé*Valeurs_Entrées,Numéro_Paiement,""), "")</f>
        <v>29</v>
      </c>
      <c r="C41" s="35">
        <f>IFERROR(IF(Prêt_Non_Payé*Valeurs_Entrées,Date_Paiement,""), "")</f>
        <v>45444</v>
      </c>
      <c r="D41" s="36">
        <f>IFERROR(IF(Prêt_Non_Payé*Valeurs_Entrées,Solde_Départ,""), "")</f>
        <v>52130.922132832791</v>
      </c>
      <c r="E41" s="36">
        <f>IFERROR(IF(Prêt_Non_Payé*Valeurs_Entrées,Paiement_Mensuel,""), "")</f>
        <v>402.90410647920658</v>
      </c>
      <c r="F41" s="36" t="str">
        <f>IFERROR(IF(Prêt_Non_Payé*Valeurs_Entrées,Capital,""), "")</f>
        <v/>
      </c>
      <c r="G41" s="36">
        <f>IFERROR(IF(Prêt_Non_Payé*Valeurs_Entrées,Intérêts,""), "")</f>
        <v>112.95033128780453</v>
      </c>
      <c r="H41" s="36">
        <f>IFERROR(IF(Prêt_Non_Payé*Valeurs_Entrées,Solde_Final,""), "")</f>
        <v>51840.968357641381</v>
      </c>
      <c r="J41" s="33">
        <f>IF(SUM(G25:G35)="",0,SUM(G25:G35))</f>
        <v>1317.417910805646</v>
      </c>
    </row>
    <row r="42" spans="2:10" x14ac:dyDescent="0.25">
      <c r="B42" s="34">
        <f>IFERROR(IF(Prêt_Non_Payé*Valeurs_Entrées,Numéro_Paiement,""), "")</f>
        <v>30</v>
      </c>
      <c r="C42" s="35">
        <f>IFERROR(IF(Prêt_Non_Payé*Valeurs_Entrées,Date_Paiement,""), "")</f>
        <v>45474</v>
      </c>
      <c r="D42" s="36">
        <f>IFERROR(IF(Prêt_Non_Payé*Valeurs_Entrées,Solde_Départ,""), "")</f>
        <v>51840.968357641381</v>
      </c>
      <c r="E42" s="36">
        <f>IFERROR(IF(Prêt_Non_Payé*Valeurs_Entrées,Paiement_Mensuel,""), "")</f>
        <v>402.90410647920658</v>
      </c>
      <c r="F42" s="36" t="str">
        <f>IFERROR(IF(Prêt_Non_Payé*Valeurs_Entrées,Capital,""), "")</f>
        <v/>
      </c>
      <c r="G42" s="36">
        <f>IFERROR(IF(Prêt_Non_Payé*Valeurs_Entrées,Intérêts,""), "")</f>
        <v>112.32209810822317</v>
      </c>
      <c r="H42" s="36">
        <f>IFERROR(IF(Prêt_Non_Payé*Valeurs_Entrées,Solde_Final,""), "")</f>
        <v>51550.386349270404</v>
      </c>
    </row>
    <row r="43" spans="2:10" x14ac:dyDescent="0.25">
      <c r="B43" s="34">
        <f>IFERROR(IF(Prêt_Non_Payé*Valeurs_Entrées,Numéro_Paiement,""), "")</f>
        <v>31</v>
      </c>
      <c r="C43" s="35">
        <f>IFERROR(IF(Prêt_Non_Payé*Valeurs_Entrées,Date_Paiement,""), "")</f>
        <v>45505</v>
      </c>
      <c r="D43" s="36">
        <f>IFERROR(IF(Prêt_Non_Payé*Valeurs_Entrées,Solde_Départ,""), "")</f>
        <v>51550.386349270404</v>
      </c>
      <c r="E43" s="36">
        <f>IFERROR(IF(Prêt_Non_Payé*Valeurs_Entrées,Paiement_Mensuel,""), "")</f>
        <v>402.90410647920658</v>
      </c>
      <c r="F43" s="36" t="str">
        <f>IFERROR(IF(Prêt_Non_Payé*Valeurs_Entrées,Capital,""), "")</f>
        <v/>
      </c>
      <c r="G43" s="36">
        <f>IFERROR(IF(Prêt_Non_Payé*Valeurs_Entrées,Intérêts,""), "")</f>
        <v>111.69250375675271</v>
      </c>
      <c r="H43" s="36">
        <f>IFERROR(IF(Prêt_Non_Payé*Valeurs_Entrées,Solde_Final,""), "")</f>
        <v>51259.174746547927</v>
      </c>
    </row>
    <row r="44" spans="2:10" x14ac:dyDescent="0.25">
      <c r="B44" s="34">
        <f>IFERROR(IF(Prêt_Non_Payé*Valeurs_Entrées,Numéro_Paiement,""), "")</f>
        <v>32</v>
      </c>
      <c r="C44" s="35">
        <f>IFERROR(IF(Prêt_Non_Payé*Valeurs_Entrées,Date_Paiement,""), "")</f>
        <v>45536</v>
      </c>
      <c r="D44" s="36">
        <f>IFERROR(IF(Prêt_Non_Payé*Valeurs_Entrées,Solde_Départ,""), "")</f>
        <v>51259.174746547927</v>
      </c>
      <c r="E44" s="36">
        <f>IFERROR(IF(Prêt_Non_Payé*Valeurs_Entrées,Paiement_Mensuel,""), "")</f>
        <v>402.90410647920658</v>
      </c>
      <c r="F44" s="36" t="str">
        <f>IFERROR(IF(Prêt_Non_Payé*Valeurs_Entrées,Capital,""), "")</f>
        <v/>
      </c>
      <c r="G44" s="36">
        <f>IFERROR(IF(Prêt_Non_Payé*Valeurs_Entrées,Intérêts,""), "")</f>
        <v>111.06154528418739</v>
      </c>
      <c r="H44" s="36">
        <f>IFERROR(IF(Prêt_Non_Payé*Valeurs_Entrées,Solde_Final,""), "")</f>
        <v>50967.332185352905</v>
      </c>
    </row>
    <row r="45" spans="2:10" x14ac:dyDescent="0.25">
      <c r="B45" s="34">
        <f>IFERROR(IF(Prêt_Non_Payé*Valeurs_Entrées,Numéro_Paiement,""), "")</f>
        <v>33</v>
      </c>
      <c r="C45" s="35">
        <f>IFERROR(IF(Prêt_Non_Payé*Valeurs_Entrées,Date_Paiement,""), "")</f>
        <v>45566</v>
      </c>
      <c r="D45" s="36">
        <f>IFERROR(IF(Prêt_Non_Payé*Valeurs_Entrées,Solde_Départ,""), "")</f>
        <v>50967.332185352905</v>
      </c>
      <c r="E45" s="36">
        <f>IFERROR(IF(Prêt_Non_Payé*Valeurs_Entrées,Paiement_Mensuel,""), "")</f>
        <v>402.90410647920658</v>
      </c>
      <c r="F45" s="36" t="str">
        <f>IFERROR(IF(Prêt_Non_Payé*Valeurs_Entrées,Capital,""), "")</f>
        <v/>
      </c>
      <c r="G45" s="36">
        <f>IFERROR(IF(Prêt_Non_Payé*Valeurs_Entrées,Intérêts,""), "")</f>
        <v>110.42921973493151</v>
      </c>
      <c r="H45" s="36">
        <f>IFERROR(IF(Prêt_Non_Payé*Valeurs_Entrées,Solde_Final,""), "")</f>
        <v>50674.857298608644</v>
      </c>
    </row>
    <row r="46" spans="2:10" x14ac:dyDescent="0.25">
      <c r="B46" s="34">
        <f>IFERROR(IF(Prêt_Non_Payé*Valeurs_Entrées,Numéro_Paiement,""), "")</f>
        <v>34</v>
      </c>
      <c r="C46" s="35">
        <f>IFERROR(IF(Prêt_Non_Payé*Valeurs_Entrées,Date_Paiement,""), "")</f>
        <v>45597</v>
      </c>
      <c r="D46" s="36">
        <f>IFERROR(IF(Prêt_Non_Payé*Valeurs_Entrées,Solde_Départ,""), "")</f>
        <v>50674.857298608644</v>
      </c>
      <c r="E46" s="36">
        <f>IFERROR(IF(Prêt_Non_Payé*Valeurs_Entrées,Paiement_Mensuel,""), "")</f>
        <v>402.90410647920658</v>
      </c>
      <c r="F46" s="36" t="str">
        <f>IFERROR(IF(Prêt_Non_Payé*Valeurs_Entrées,Capital,""), "")</f>
        <v/>
      </c>
      <c r="G46" s="36">
        <f>IFERROR(IF(Prêt_Non_Payé*Valeurs_Entrées,Intérêts,""), "")</f>
        <v>109.79552414698556</v>
      </c>
      <c r="H46" s="36">
        <f>IFERROR(IF(Prêt_Non_Payé*Valeurs_Entrées,Solde_Final,""), "")</f>
        <v>50381.748716276408</v>
      </c>
    </row>
    <row r="47" spans="2:10" x14ac:dyDescent="0.25">
      <c r="B47" s="34">
        <f>IFERROR(IF(Prêt_Non_Payé*Valeurs_Entrées,Numéro_Paiement,""), "")</f>
        <v>35</v>
      </c>
      <c r="C47" s="35">
        <f>IFERROR(IF(Prêt_Non_Payé*Valeurs_Entrées,Date_Paiement,""), "")</f>
        <v>45627</v>
      </c>
      <c r="D47" s="36">
        <f>IFERROR(IF(Prêt_Non_Payé*Valeurs_Entrées,Solde_Départ,""), "")</f>
        <v>50381.748716276408</v>
      </c>
      <c r="E47" s="36">
        <f>IFERROR(IF(Prêt_Non_Payé*Valeurs_Entrées,Paiement_Mensuel,""), "")</f>
        <v>402.90410647920658</v>
      </c>
      <c r="F47" s="36" t="str">
        <f>IFERROR(IF(Prêt_Non_Payé*Valeurs_Entrées,Capital,""), "")</f>
        <v/>
      </c>
      <c r="G47" s="36">
        <f>IFERROR(IF(Prêt_Non_Payé*Valeurs_Entrées,Intérêts,""), "")</f>
        <v>109.16045555193242</v>
      </c>
      <c r="H47" s="36">
        <f>IFERROR(IF(Prêt_Non_Payé*Valeurs_Entrées,Solde_Final,""), "")</f>
        <v>50088.005065349134</v>
      </c>
    </row>
    <row r="48" spans="2:10" x14ac:dyDescent="0.25">
      <c r="B48" s="34">
        <f>IFERROR(IF(Prêt_Non_Payé*Valeurs_Entrées,Numéro_Paiement,""), "")</f>
        <v>36</v>
      </c>
      <c r="C48" s="35">
        <f>IFERROR(IF(Prêt_Non_Payé*Valeurs_Entrées,Date_Paiement,""), "")</f>
        <v>45658</v>
      </c>
      <c r="D48" s="36">
        <f>IFERROR(IF(Prêt_Non_Payé*Valeurs_Entrées,Solde_Départ,""), "")</f>
        <v>50088.005065349134</v>
      </c>
      <c r="E48" s="36">
        <f>IFERROR(IF(Prêt_Non_Payé*Valeurs_Entrées,Paiement_Mensuel,""), "")</f>
        <v>402.90410647920658</v>
      </c>
      <c r="F48" s="36" t="str">
        <f>IFERROR(IF(Prêt_Non_Payé*Valeurs_Entrées,Capital,""), "")</f>
        <v/>
      </c>
      <c r="G48" s="36">
        <f>IFERROR(IF(Prêt_Non_Payé*Valeurs_Entrées,Intérêts,""), "")</f>
        <v>108.52401097492333</v>
      </c>
      <c r="H48" s="36">
        <f>IFERROR(IF(Prêt_Non_Payé*Valeurs_Entrées,Solde_Final,""), "")</f>
        <v>49793.624969844859</v>
      </c>
    </row>
    <row r="49" spans="2:10" x14ac:dyDescent="0.25">
      <c r="B49" s="34">
        <f>IFERROR(IF(Prêt_Non_Payé*Valeurs_Entrées,Numéro_Paiement,""), "")</f>
        <v>37</v>
      </c>
      <c r="C49" s="35">
        <f>IFERROR(IF(Prêt_Non_Payé*Valeurs_Entrées,Date_Paiement,""), "")</f>
        <v>45689</v>
      </c>
      <c r="D49" s="36">
        <f>IFERROR(IF(Prêt_Non_Payé*Valeurs_Entrées,Solde_Départ,""), "")</f>
        <v>49793.624969844859</v>
      </c>
      <c r="E49" s="36">
        <f>IFERROR(IF(Prêt_Non_Payé*Valeurs_Entrées,Paiement_Mensuel,""), "")</f>
        <v>402.90410647920658</v>
      </c>
      <c r="F49" s="36" t="str">
        <f>IFERROR(IF(Prêt_Non_Payé*Valeurs_Entrées,Capital,""), "")</f>
        <v/>
      </c>
      <c r="G49" s="36">
        <f>IFERROR(IF(Prêt_Non_Payé*Valeurs_Entrées,Intérêts,""), "")</f>
        <v>107.88618743466405</v>
      </c>
      <c r="H49" s="36">
        <f>IFERROR(IF(Prêt_Non_Payé*Valeurs_Entrées,Solde_Final,""), "")</f>
        <v>49498.607050800296</v>
      </c>
    </row>
    <row r="50" spans="2:10" x14ac:dyDescent="0.25">
      <c r="B50" s="34">
        <f>IFERROR(IF(Prêt_Non_Payé*Valeurs_Entrées,Numéro_Paiement,""), "")</f>
        <v>38</v>
      </c>
      <c r="C50" s="35">
        <f>IFERROR(IF(Prêt_Non_Payé*Valeurs_Entrées,Date_Paiement,""), "")</f>
        <v>45717</v>
      </c>
      <c r="D50" s="36">
        <f>IFERROR(IF(Prêt_Non_Payé*Valeurs_Entrées,Solde_Départ,""), "")</f>
        <v>49498.607050800296</v>
      </c>
      <c r="E50" s="36">
        <f>IFERROR(IF(Prêt_Non_Payé*Valeurs_Entrées,Paiement_Mensuel,""), "")</f>
        <v>402.90410647920658</v>
      </c>
      <c r="F50" s="36" t="str">
        <f>IFERROR(IF(Prêt_Non_Payé*Valeurs_Entrées,Capital,""), "")</f>
        <v/>
      </c>
      <c r="G50" s="36">
        <f>IFERROR(IF(Prêt_Non_Payé*Valeurs_Entrées,Intérêts,""), "")</f>
        <v>107.24698194340087</v>
      </c>
      <c r="H50" s="36">
        <f>IFERROR(IF(Prêt_Non_Payé*Valeurs_Entrées,Solde_Final,""), "")</f>
        <v>49202.949926264511</v>
      </c>
    </row>
    <row r="51" spans="2:10" x14ac:dyDescent="0.25">
      <c r="B51" s="34">
        <f>IFERROR(IF(Prêt_Non_Payé*Valeurs_Entrées,Numéro_Paiement,""), "")</f>
        <v>39</v>
      </c>
      <c r="C51" s="35">
        <f>IFERROR(IF(Prêt_Non_Payé*Valeurs_Entrées,Date_Paiement,""), "")</f>
        <v>45748</v>
      </c>
      <c r="D51" s="36">
        <f>IFERROR(IF(Prêt_Non_Payé*Valeurs_Entrées,Solde_Départ,""), "")</f>
        <v>49202.949926264511</v>
      </c>
      <c r="E51" s="36">
        <f>IFERROR(IF(Prêt_Non_Payé*Valeurs_Entrées,Paiement_Mensuel,""), "")</f>
        <v>402.90410647920658</v>
      </c>
      <c r="F51" s="36" t="str">
        <f>IFERROR(IF(Prêt_Non_Payé*Valeurs_Entrées,Capital,""), "")</f>
        <v/>
      </c>
      <c r="G51" s="36">
        <f>IFERROR(IF(Prêt_Non_Payé*Valeurs_Entrées,Intérêts,""), "")</f>
        <v>106.60639150690662</v>
      </c>
      <c r="H51" s="36">
        <f>IFERROR(IF(Prêt_Non_Payé*Valeurs_Entrées,Solde_Final,""), "")</f>
        <v>48906.652211292188</v>
      </c>
    </row>
    <row r="52" spans="2:10" x14ac:dyDescent="0.25">
      <c r="B52" s="34">
        <f>IFERROR(IF(Prêt_Non_Payé*Valeurs_Entrées,Numéro_Paiement,""), "")</f>
        <v>40</v>
      </c>
      <c r="C52" s="35">
        <f>IFERROR(IF(Prêt_Non_Payé*Valeurs_Entrées,Date_Paiement,""), "")</f>
        <v>45778</v>
      </c>
      <c r="D52" s="36">
        <f>IFERROR(IF(Prêt_Non_Payé*Valeurs_Entrées,Solde_Départ,""), "")</f>
        <v>48906.652211292188</v>
      </c>
      <c r="E52" s="36">
        <f>IFERROR(IF(Prêt_Non_Payé*Valeurs_Entrées,Paiement_Mensuel,""), "")</f>
        <v>402.90410647920658</v>
      </c>
      <c r="F52" s="36" t="str">
        <f>IFERROR(IF(Prêt_Non_Payé*Valeurs_Entrées,Capital,""), "")</f>
        <v/>
      </c>
      <c r="G52" s="36">
        <f>IFERROR(IF(Prêt_Non_Payé*Valeurs_Entrées,Intérêts,""), "")</f>
        <v>105.96441312446665</v>
      </c>
      <c r="H52" s="36">
        <f>IFERROR(IF(Prêt_Non_Payé*Valeurs_Entrées,Solde_Final,""), "")</f>
        <v>48609.712517937449</v>
      </c>
    </row>
    <row r="53" spans="2:10" x14ac:dyDescent="0.25">
      <c r="B53" s="34">
        <f>IFERROR(IF(Prêt_Non_Payé*Valeurs_Entrées,Numéro_Paiement,""), "")</f>
        <v>41</v>
      </c>
      <c r="C53" s="35">
        <f>IFERROR(IF(Prêt_Non_Payé*Valeurs_Entrées,Date_Paiement,""), "")</f>
        <v>45809</v>
      </c>
      <c r="D53" s="36">
        <f>IFERROR(IF(Prêt_Non_Payé*Valeurs_Entrées,Solde_Départ,""), "")</f>
        <v>48609.712517937449</v>
      </c>
      <c r="E53" s="36">
        <f>IFERROR(IF(Prêt_Non_Payé*Valeurs_Entrées,Paiement_Mensuel,""), "")</f>
        <v>402.90410647920658</v>
      </c>
      <c r="F53" s="36" t="str">
        <f>IFERROR(IF(Prêt_Non_Payé*Valeurs_Entrées,Capital,""), "")</f>
        <v/>
      </c>
      <c r="G53" s="36">
        <f>IFERROR(IF(Prêt_Non_Payé*Valeurs_Entrées,Intérêts,""), "")</f>
        <v>105.32104378886471</v>
      </c>
      <c r="H53" s="36">
        <f>IFERROR(IF(Prêt_Non_Payé*Valeurs_Entrées,Solde_Final,""), "")</f>
        <v>48312.129455247094</v>
      </c>
      <c r="J53" s="33">
        <f>IF(SUM(G37:G47)="",0,SUM(G37:G47))</f>
        <v>1235.4682142455911</v>
      </c>
    </row>
    <row r="54" spans="2:10" x14ac:dyDescent="0.25">
      <c r="B54" s="34">
        <f>IFERROR(IF(Prêt_Non_Payé*Valeurs_Entrées,Numéro_Paiement,""), "")</f>
        <v>42</v>
      </c>
      <c r="C54" s="35">
        <f>IFERROR(IF(Prêt_Non_Payé*Valeurs_Entrées,Date_Paiement,""), "")</f>
        <v>45839</v>
      </c>
      <c r="D54" s="36">
        <f>IFERROR(IF(Prêt_Non_Payé*Valeurs_Entrées,Solde_Départ,""), "")</f>
        <v>48312.129455247094</v>
      </c>
      <c r="E54" s="36">
        <f>IFERROR(IF(Prêt_Non_Payé*Valeurs_Entrées,Paiement_Mensuel,""), "")</f>
        <v>402.90410647920658</v>
      </c>
      <c r="F54" s="36" t="str">
        <f>IFERROR(IF(Prêt_Non_Payé*Valeurs_Entrées,Capital,""), "")</f>
        <v/>
      </c>
      <c r="G54" s="36">
        <f>IFERROR(IF(Prêt_Non_Payé*Valeurs_Entrées,Intérêts,""), "")</f>
        <v>104.67628048636898</v>
      </c>
      <c r="H54" s="36">
        <f>IFERROR(IF(Prêt_Non_Payé*Valeurs_Entrées,Solde_Final,""), "")</f>
        <v>48013.901629254251</v>
      </c>
    </row>
    <row r="55" spans="2:10" x14ac:dyDescent="0.25">
      <c r="B55" s="34">
        <f>IFERROR(IF(Prêt_Non_Payé*Valeurs_Entrées,Numéro_Paiement,""), "")</f>
        <v>43</v>
      </c>
      <c r="C55" s="35">
        <f>IFERROR(IF(Prêt_Non_Payé*Valeurs_Entrées,Date_Paiement,""), "")</f>
        <v>45870</v>
      </c>
      <c r="D55" s="36">
        <f>IFERROR(IF(Prêt_Non_Payé*Valeurs_Entrées,Solde_Départ,""), "")</f>
        <v>48013.901629254251</v>
      </c>
      <c r="E55" s="36">
        <f>IFERROR(IF(Prêt_Non_Payé*Valeurs_Entrées,Paiement_Mensuel,""), "")</f>
        <v>402.90410647920658</v>
      </c>
      <c r="F55" s="36" t="str">
        <f>IFERROR(IF(Prêt_Non_Payé*Valeurs_Entrées,Capital,""), "")</f>
        <v/>
      </c>
      <c r="G55" s="36">
        <f>IFERROR(IF(Prêt_Non_Payé*Valeurs_Entrées,Intérêts,""), "")</f>
        <v>104.03012019671782</v>
      </c>
      <c r="H55" s="36">
        <f>IFERROR(IF(Prêt_Non_Payé*Valeurs_Entrées,Solde_Final,""), "")</f>
        <v>47715.027642971771</v>
      </c>
    </row>
    <row r="56" spans="2:10" x14ac:dyDescent="0.25">
      <c r="B56" s="34">
        <f>IFERROR(IF(Prêt_Non_Payé*Valeurs_Entrées,Numéro_Paiement,""), "")</f>
        <v>44</v>
      </c>
      <c r="C56" s="35">
        <f>IFERROR(IF(Prêt_Non_Payé*Valeurs_Entrées,Date_Paiement,""), "")</f>
        <v>45901</v>
      </c>
      <c r="D56" s="36">
        <f>IFERROR(IF(Prêt_Non_Payé*Valeurs_Entrées,Solde_Départ,""), "")</f>
        <v>47715.027642971771</v>
      </c>
      <c r="E56" s="36">
        <f>IFERROR(IF(Prêt_Non_Payé*Valeurs_Entrées,Paiement_Mensuel,""), "")</f>
        <v>402.90410647920658</v>
      </c>
      <c r="F56" s="36" t="str">
        <f>IFERROR(IF(Prêt_Non_Payé*Valeurs_Entrées,Capital,""), "")</f>
        <v/>
      </c>
      <c r="G56" s="36">
        <f>IFERROR(IF(Prêt_Non_Payé*Valeurs_Entrées,Intérêts,""), "")</f>
        <v>103.38255989310578</v>
      </c>
      <c r="H56" s="36">
        <f>IFERROR(IF(Prêt_Non_Payé*Valeurs_Entrées,Solde_Final,""), "")</f>
        <v>47415.506096385681</v>
      </c>
    </row>
    <row r="57" spans="2:10" x14ac:dyDescent="0.25">
      <c r="B57" s="34">
        <f>IFERROR(IF(Prêt_Non_Payé*Valeurs_Entrées,Numéro_Paiement,""), "")</f>
        <v>45</v>
      </c>
      <c r="C57" s="35">
        <f>IFERROR(IF(Prêt_Non_Payé*Valeurs_Entrées,Date_Paiement,""), "")</f>
        <v>45931</v>
      </c>
      <c r="D57" s="36">
        <f>IFERROR(IF(Prêt_Non_Payé*Valeurs_Entrées,Solde_Départ,""), "")</f>
        <v>47415.506096385681</v>
      </c>
      <c r="E57" s="36">
        <f>IFERROR(IF(Prêt_Non_Payé*Valeurs_Entrées,Paiement_Mensuel,""), "")</f>
        <v>402.90410647920658</v>
      </c>
      <c r="F57" s="36" t="str">
        <f>IFERROR(IF(Prêt_Non_Payé*Valeurs_Entrées,Capital,""), "")</f>
        <v/>
      </c>
      <c r="G57" s="36">
        <f>IFERROR(IF(Prêt_Non_Payé*Valeurs_Entrées,Intérêts,""), "")</f>
        <v>102.73359654216922</v>
      </c>
      <c r="H57" s="36">
        <f>IFERROR(IF(Prêt_Non_Payé*Valeurs_Entrées,Solde_Final,""), "")</f>
        <v>47115.335586448651</v>
      </c>
    </row>
    <row r="58" spans="2:10" x14ac:dyDescent="0.25">
      <c r="B58" s="34">
        <f>IFERROR(IF(Prêt_Non_Payé*Valeurs_Entrées,Numéro_Paiement,""), "")</f>
        <v>46</v>
      </c>
      <c r="C58" s="35">
        <f>IFERROR(IF(Prêt_Non_Payé*Valeurs_Entrées,Date_Paiement,""), "")</f>
        <v>45962</v>
      </c>
      <c r="D58" s="36">
        <f>IFERROR(IF(Prêt_Non_Payé*Valeurs_Entrées,Solde_Départ,""), "")</f>
        <v>47115.335586448651</v>
      </c>
      <c r="E58" s="36">
        <f>IFERROR(IF(Prêt_Non_Payé*Valeurs_Entrées,Paiement_Mensuel,""), "")</f>
        <v>402.90410647920658</v>
      </c>
      <c r="F58" s="36" t="str">
        <f>IFERROR(IF(Prêt_Non_Payé*Valeurs_Entrées,Capital,""), "")</f>
        <v/>
      </c>
      <c r="G58" s="36">
        <f>IFERROR(IF(Prêt_Non_Payé*Valeurs_Entrées,Intérêts,""), "")</f>
        <v>102.08322710397232</v>
      </c>
      <c r="H58" s="36">
        <f>IFERROR(IF(Prêt_Non_Payé*Valeurs_Entrées,Solde_Final,""), "")</f>
        <v>46814.514707073409</v>
      </c>
    </row>
    <row r="59" spans="2:10" x14ac:dyDescent="0.25">
      <c r="B59" s="34">
        <f>IFERROR(IF(Prêt_Non_Payé*Valeurs_Entrées,Numéro_Paiement,""), "")</f>
        <v>47</v>
      </c>
      <c r="C59" s="35">
        <f>IFERROR(IF(Prêt_Non_Payé*Valeurs_Entrées,Date_Paiement,""), "")</f>
        <v>45992</v>
      </c>
      <c r="D59" s="36">
        <f>IFERROR(IF(Prêt_Non_Payé*Valeurs_Entrées,Solde_Départ,""), "")</f>
        <v>46814.514707073409</v>
      </c>
      <c r="E59" s="36">
        <f>IFERROR(IF(Prêt_Non_Payé*Valeurs_Entrées,Paiement_Mensuel,""), "")</f>
        <v>402.90410647920658</v>
      </c>
      <c r="F59" s="36" t="str">
        <f>IFERROR(IF(Prêt_Non_Payé*Valeurs_Entrées,Capital,""), "")</f>
        <v/>
      </c>
      <c r="G59" s="36">
        <f>IFERROR(IF(Prêt_Non_Payé*Valeurs_Entrées,Intérêts,""), "")</f>
        <v>101.43144853199263</v>
      </c>
      <c r="H59" s="36">
        <f>IFERROR(IF(Prêt_Non_Payé*Valeurs_Entrées,Solde_Final,""), "")</f>
        <v>46513.042049126176</v>
      </c>
    </row>
    <row r="60" spans="2:10" x14ac:dyDescent="0.25">
      <c r="B60" s="34">
        <f>IFERROR(IF(Prêt_Non_Payé*Valeurs_Entrées,Numéro_Paiement,""), "")</f>
        <v>48</v>
      </c>
      <c r="C60" s="35">
        <f>IFERROR(IF(Prêt_Non_Payé*Valeurs_Entrées,Date_Paiement,""), "")</f>
        <v>46023</v>
      </c>
      <c r="D60" s="36">
        <f>IFERROR(IF(Prêt_Non_Payé*Valeurs_Entrées,Solde_Départ,""), "")</f>
        <v>46513.042049126176</v>
      </c>
      <c r="E60" s="36">
        <f>IFERROR(IF(Prêt_Non_Payé*Valeurs_Entrées,Paiement_Mensuel,""), "")</f>
        <v>402.90410647920658</v>
      </c>
      <c r="F60" s="36" t="str">
        <f>IFERROR(IF(Prêt_Non_Payé*Valeurs_Entrées,Capital,""), "")</f>
        <v/>
      </c>
      <c r="G60" s="36">
        <f>IFERROR(IF(Prêt_Non_Payé*Valeurs_Entrées,Intérêts,""), "")</f>
        <v>100.77825777310699</v>
      </c>
      <c r="H60" s="36">
        <f>IFERROR(IF(Prêt_Non_Payé*Valeurs_Entrées,Solde_Final,""), "")</f>
        <v>46210.916200420048</v>
      </c>
    </row>
    <row r="61" spans="2:10" x14ac:dyDescent="0.25">
      <c r="B61" s="34">
        <f>IFERROR(IF(Prêt_Non_Payé*Valeurs_Entrées,Numéro_Paiement,""), "")</f>
        <v>49</v>
      </c>
      <c r="C61" s="35">
        <f>IFERROR(IF(Prêt_Non_Payé*Valeurs_Entrées,Date_Paiement,""), "")</f>
        <v>46054</v>
      </c>
      <c r="D61" s="36">
        <f>IFERROR(IF(Prêt_Non_Payé*Valeurs_Entrées,Solde_Départ,""), "")</f>
        <v>46210.916200420048</v>
      </c>
      <c r="E61" s="36">
        <f>IFERROR(IF(Prêt_Non_Payé*Valeurs_Entrées,Paiement_Mensuel,""), "")</f>
        <v>402.90410647920658</v>
      </c>
      <c r="F61" s="36" t="str">
        <f>IFERROR(IF(Prêt_Non_Payé*Valeurs_Entrées,Capital,""), "")</f>
        <v/>
      </c>
      <c r="G61" s="36">
        <f>IFERROR(IF(Prêt_Non_Payé*Valeurs_Entrées,Intérêts,""), "")</f>
        <v>100.1236517675771</v>
      </c>
      <c r="H61" s="36">
        <f>IFERROR(IF(Prêt_Non_Payé*Valeurs_Entrées,Solde_Final,""), "")</f>
        <v>45908.135745708445</v>
      </c>
    </row>
    <row r="62" spans="2:10" x14ac:dyDescent="0.25">
      <c r="B62" s="34">
        <f>IFERROR(IF(Prêt_Non_Payé*Valeurs_Entrées,Numéro_Paiement,""), "")</f>
        <v>50</v>
      </c>
      <c r="C62" s="35">
        <f>IFERROR(IF(Prêt_Non_Payé*Valeurs_Entrées,Date_Paiement,""), "")</f>
        <v>46082</v>
      </c>
      <c r="D62" s="36">
        <f>IFERROR(IF(Prêt_Non_Payé*Valeurs_Entrées,Solde_Départ,""), "")</f>
        <v>45908.135745708445</v>
      </c>
      <c r="E62" s="36">
        <f>IFERROR(IF(Prêt_Non_Payé*Valeurs_Entrées,Paiement_Mensuel,""), "")</f>
        <v>402.90410647920658</v>
      </c>
      <c r="F62" s="36" t="str">
        <f>IFERROR(IF(Prêt_Non_Payé*Valeurs_Entrées,Capital,""), "")</f>
        <v/>
      </c>
      <c r="G62" s="36">
        <f>IFERROR(IF(Prêt_Non_Payé*Valeurs_Entrées,Intérêts,""), "")</f>
        <v>99.467627449035234</v>
      </c>
      <c r="H62" s="36">
        <f>IFERROR(IF(Prêt_Non_Payé*Valeurs_Entrées,Solde_Final,""), "")</f>
        <v>45604.699266678246</v>
      </c>
    </row>
    <row r="63" spans="2:10" x14ac:dyDescent="0.25">
      <c r="B63" s="34">
        <f>IFERROR(IF(Prêt_Non_Payé*Valeurs_Entrées,Numéro_Paiement,""), "")</f>
        <v>51</v>
      </c>
      <c r="C63" s="35">
        <f>IFERROR(IF(Prêt_Non_Payé*Valeurs_Entrées,Date_Paiement,""), "")</f>
        <v>46113</v>
      </c>
      <c r="D63" s="36">
        <f>IFERROR(IF(Prêt_Non_Payé*Valeurs_Entrées,Solde_Départ,""), "")</f>
        <v>45604.699266678246</v>
      </c>
      <c r="E63" s="36">
        <f>IFERROR(IF(Prêt_Non_Payé*Valeurs_Entrées,Paiement_Mensuel,""), "")</f>
        <v>402.90410647920658</v>
      </c>
      <c r="F63" s="36" t="str">
        <f>IFERROR(IF(Prêt_Non_Payé*Valeurs_Entrées,Capital,""), "")</f>
        <v/>
      </c>
      <c r="G63" s="36">
        <f>IFERROR(IF(Prêt_Non_Payé*Valeurs_Entrées,Intérêts,""), "")</f>
        <v>98.810181744469872</v>
      </c>
      <c r="H63" s="36">
        <f>IFERROR(IF(Prêt_Non_Payé*Valeurs_Entrées,Solde_Final,""), "")</f>
        <v>45300.605341943519</v>
      </c>
    </row>
    <row r="64" spans="2:10" x14ac:dyDescent="0.25">
      <c r="B64" s="34">
        <f>IFERROR(IF(Prêt_Non_Payé*Valeurs_Entrées,Numéro_Paiement,""), "")</f>
        <v>52</v>
      </c>
      <c r="C64" s="35">
        <f>IFERROR(IF(Prêt_Non_Payé*Valeurs_Entrées,Date_Paiement,""), "")</f>
        <v>46143</v>
      </c>
      <c r="D64" s="36">
        <f>IFERROR(IF(Prêt_Non_Payé*Valeurs_Entrées,Solde_Départ,""), "")</f>
        <v>45300.605341943519</v>
      </c>
      <c r="E64" s="36">
        <f>IFERROR(IF(Prêt_Non_Payé*Valeurs_Entrées,Paiement_Mensuel,""), "")</f>
        <v>402.90410647920658</v>
      </c>
      <c r="F64" s="36" t="str">
        <f>IFERROR(IF(Prêt_Non_Payé*Valeurs_Entrées,Capital,""), "")</f>
        <v/>
      </c>
      <c r="G64" s="36">
        <f>IFERROR(IF(Prêt_Non_Payé*Valeurs_Entrées,Intérêts,""), "")</f>
        <v>98.151311574211292</v>
      </c>
      <c r="H64" s="36">
        <f>IFERROR(IF(Prêt_Non_Payé*Valeurs_Entrées,Solde_Final,""), "")</f>
        <v>44995.852547038521</v>
      </c>
    </row>
    <row r="65" spans="2:10" x14ac:dyDescent="0.25">
      <c r="B65" s="34">
        <f>IFERROR(IF(Prêt_Non_Payé*Valeurs_Entrées,Numéro_Paiement,""), "")</f>
        <v>53</v>
      </c>
      <c r="C65" s="35">
        <f>IFERROR(IF(Prêt_Non_Payé*Valeurs_Entrées,Date_Paiement,""), "")</f>
        <v>46174</v>
      </c>
      <c r="D65" s="36">
        <f>IFERROR(IF(Prêt_Non_Payé*Valeurs_Entrées,Solde_Départ,""), "")</f>
        <v>44995.852547038521</v>
      </c>
      <c r="E65" s="36">
        <f>IFERROR(IF(Prêt_Non_Payé*Valeurs_Entrées,Paiement_Mensuel,""), "")</f>
        <v>402.90410647920658</v>
      </c>
      <c r="F65" s="36" t="str">
        <f>IFERROR(IF(Prêt_Non_Payé*Valeurs_Entrées,Capital,""), "")</f>
        <v/>
      </c>
      <c r="G65" s="36">
        <f>IFERROR(IF(Prêt_Non_Payé*Valeurs_Entrées,Intérêts,""), "")</f>
        <v>97.491013851917117</v>
      </c>
      <c r="H65" s="36">
        <f>IFERROR(IF(Prêt_Non_Payé*Valeurs_Entrées,Solde_Final,""), "")</f>
        <v>44690.439454411215</v>
      </c>
      <c r="J65" s="33">
        <f>IF(SUM(G49:G59)="",0,SUM(G49:G59))</f>
        <v>1151.3622505526296</v>
      </c>
    </row>
    <row r="66" spans="2:10" x14ac:dyDescent="0.25">
      <c r="B66" s="34">
        <f>IFERROR(IF(Prêt_Non_Payé*Valeurs_Entrées,Numéro_Paiement,""), "")</f>
        <v>54</v>
      </c>
      <c r="C66" s="35">
        <f>IFERROR(IF(Prêt_Non_Payé*Valeurs_Entrées,Date_Paiement,""), "")</f>
        <v>46204</v>
      </c>
      <c r="D66" s="36">
        <f>IFERROR(IF(Prêt_Non_Payé*Valeurs_Entrées,Solde_Départ,""), "")</f>
        <v>44690.439454411215</v>
      </c>
      <c r="E66" s="36">
        <f>IFERROR(IF(Prêt_Non_Payé*Valeurs_Entrées,Paiement_Mensuel,""), "")</f>
        <v>402.90410647920658</v>
      </c>
      <c r="F66" s="36" t="str">
        <f>IFERROR(IF(Prêt_Non_Payé*Valeurs_Entrées,Capital,""), "")</f>
        <v/>
      </c>
      <c r="G66" s="36">
        <f>IFERROR(IF(Prêt_Non_Payé*Valeurs_Entrées,Intérêts,""), "")</f>
        <v>96.829285484558</v>
      </c>
      <c r="H66" s="36">
        <f>IFERROR(IF(Prêt_Non_Payé*Valeurs_Entrées,Solde_Final,""), "")</f>
        <v>44384.364633416575</v>
      </c>
    </row>
    <row r="67" spans="2:10" x14ac:dyDescent="0.25">
      <c r="B67" s="34">
        <f>IFERROR(IF(Prêt_Non_Payé*Valeurs_Entrées,Numéro_Paiement,""), "")</f>
        <v>55</v>
      </c>
      <c r="C67" s="35">
        <f>IFERROR(IF(Prêt_Non_Payé*Valeurs_Entrées,Date_Paiement,""), "")</f>
        <v>46235</v>
      </c>
      <c r="D67" s="36">
        <f>IFERROR(IF(Prêt_Non_Payé*Valeurs_Entrées,Solde_Départ,""), "")</f>
        <v>44384.364633416575</v>
      </c>
      <c r="E67" s="36">
        <f>IFERROR(IF(Prêt_Non_Payé*Valeurs_Entrées,Paiement_Mensuel,""), "")</f>
        <v>402.90410647920658</v>
      </c>
      <c r="F67" s="36" t="str">
        <f>IFERROR(IF(Prêt_Non_Payé*Valeurs_Entrées,Capital,""), "")</f>
        <v/>
      </c>
      <c r="G67" s="36">
        <f>IFERROR(IF(Prêt_Non_Payé*Valeurs_Entrées,Intérêts,""), "")</f>
        <v>96.166123372402936</v>
      </c>
      <c r="H67" s="36">
        <f>IFERROR(IF(Prêt_Non_Payé*Valeurs_Entrées,Solde_Final,""), "")</f>
        <v>44077.626650309758</v>
      </c>
    </row>
    <row r="68" spans="2:10" x14ac:dyDescent="0.25">
      <c r="B68" s="34">
        <f>IFERROR(IF(Prêt_Non_Payé*Valeurs_Entrées,Numéro_Paiement,""), "")</f>
        <v>56</v>
      </c>
      <c r="C68" s="35">
        <f>IFERROR(IF(Prêt_Non_Payé*Valeurs_Entrées,Date_Paiement,""), "")</f>
        <v>46266</v>
      </c>
      <c r="D68" s="36">
        <f>IFERROR(IF(Prêt_Non_Payé*Valeurs_Entrées,Solde_Départ,""), "")</f>
        <v>44077.626650309758</v>
      </c>
      <c r="E68" s="36">
        <f>IFERROR(IF(Prêt_Non_Payé*Valeurs_Entrées,Paiement_Mensuel,""), "")</f>
        <v>402.90410647920658</v>
      </c>
      <c r="F68" s="36" t="str">
        <f>IFERROR(IF(Prêt_Non_Payé*Valeurs_Entrées,Capital,""), "")</f>
        <v/>
      </c>
      <c r="G68" s="36">
        <f>IFERROR(IF(Prêt_Non_Payé*Valeurs_Entrées,Intérêts,""), "")</f>
        <v>95.501524409004844</v>
      </c>
      <c r="H68" s="36">
        <f>IFERROR(IF(Prêt_Non_Payé*Valeurs_Entrées,Solde_Final,""), "")</f>
        <v>43770.224068239542</v>
      </c>
    </row>
    <row r="69" spans="2:10" x14ac:dyDescent="0.25">
      <c r="B69" s="34">
        <f>IFERROR(IF(Prêt_Non_Payé*Valeurs_Entrées,Numéro_Paiement,""), "")</f>
        <v>57</v>
      </c>
      <c r="C69" s="35">
        <f>IFERROR(IF(Prêt_Non_Payé*Valeurs_Entrées,Date_Paiement,""), "")</f>
        <v>46296</v>
      </c>
      <c r="D69" s="36">
        <f>IFERROR(IF(Prêt_Non_Payé*Valeurs_Entrées,Solde_Départ,""), "")</f>
        <v>43770.224068239542</v>
      </c>
      <c r="E69" s="36">
        <f>IFERROR(IF(Prêt_Non_Payé*Valeurs_Entrées,Paiement_Mensuel,""), "")</f>
        <v>402.90410647920658</v>
      </c>
      <c r="F69" s="36" t="str">
        <f>IFERROR(IF(Prêt_Non_Payé*Valeurs_Entrées,Capital,""), "")</f>
        <v/>
      </c>
      <c r="G69" s="36">
        <f>IFERROR(IF(Prêt_Non_Payé*Valeurs_Entrées,Intérêts,""), "")</f>
        <v>94.835485481186083</v>
      </c>
      <c r="H69" s="36">
        <f>IFERROR(IF(Prêt_Non_Payé*Valeurs_Entrées,Solde_Final,""), "")</f>
        <v>43462.155447241545</v>
      </c>
    </row>
    <row r="70" spans="2:10" x14ac:dyDescent="0.25">
      <c r="B70" s="34">
        <f>IFERROR(IF(Prêt_Non_Payé*Valeurs_Entrées,Numéro_Paiement,""), "")</f>
        <v>58</v>
      </c>
      <c r="C70" s="35">
        <f>IFERROR(IF(Prêt_Non_Payé*Valeurs_Entrées,Date_Paiement,""), "")</f>
        <v>46327</v>
      </c>
      <c r="D70" s="36">
        <f>IFERROR(IF(Prêt_Non_Payé*Valeurs_Entrées,Solde_Départ,""), "")</f>
        <v>43462.155447241545</v>
      </c>
      <c r="E70" s="36">
        <f>IFERROR(IF(Prêt_Non_Payé*Valeurs_Entrées,Paiement_Mensuel,""), "")</f>
        <v>402.90410647920658</v>
      </c>
      <c r="F70" s="36" t="str">
        <f>IFERROR(IF(Prêt_Non_Payé*Valeurs_Entrées,Capital,""), "")</f>
        <v/>
      </c>
      <c r="G70" s="36">
        <f>IFERROR(IF(Prêt_Non_Payé*Valeurs_Entrées,Intérêts,""), "")</f>
        <v>94.168003469023702</v>
      </c>
      <c r="H70" s="36">
        <f>IFERROR(IF(Prêt_Non_Payé*Valeurs_Entrées,Solde_Final,""), "")</f>
        <v>43153.41934423137</v>
      </c>
    </row>
    <row r="71" spans="2:10" x14ac:dyDescent="0.25">
      <c r="B71" s="34">
        <f>IFERROR(IF(Prêt_Non_Payé*Valeurs_Entrées,Numéro_Paiement,""), "")</f>
        <v>59</v>
      </c>
      <c r="C71" s="35">
        <f>IFERROR(IF(Prêt_Non_Payé*Valeurs_Entrées,Date_Paiement,""), "")</f>
        <v>46357</v>
      </c>
      <c r="D71" s="36">
        <f>IFERROR(IF(Prêt_Non_Payé*Valeurs_Entrées,Solde_Départ,""), "")</f>
        <v>43153.41934423137</v>
      </c>
      <c r="E71" s="36">
        <f>IFERROR(IF(Prêt_Non_Payé*Valeurs_Entrées,Paiement_Mensuel,""), "")</f>
        <v>402.90410647920658</v>
      </c>
      <c r="F71" s="36" t="str">
        <f>IFERROR(IF(Prêt_Non_Payé*Valeurs_Entrées,Capital,""), "")</f>
        <v/>
      </c>
      <c r="G71" s="36">
        <f>IFERROR(IF(Prêt_Non_Payé*Valeurs_Entrées,Intérêts,""), "")</f>
        <v>93.499075245834973</v>
      </c>
      <c r="H71" s="36">
        <f>IFERROR(IF(Prêt_Non_Payé*Valeurs_Entrées,Solde_Final,""), "")</f>
        <v>42844.014312997948</v>
      </c>
    </row>
    <row r="72" spans="2:10" x14ac:dyDescent="0.25">
      <c r="B72" s="34">
        <f>IFERROR(IF(Prêt_Non_Payé*Valeurs_Entrées,Numéro_Paiement,""), "")</f>
        <v>60</v>
      </c>
      <c r="C72" s="35">
        <f>IFERROR(IF(Prêt_Non_Payé*Valeurs_Entrées,Date_Paiement,""), "")</f>
        <v>46388</v>
      </c>
      <c r="D72" s="36">
        <f>IFERROR(IF(Prêt_Non_Payé*Valeurs_Entrées,Solde_Départ,""), "")</f>
        <v>42844.014312997948</v>
      </c>
      <c r="E72" s="36">
        <f>IFERROR(IF(Prêt_Non_Payé*Valeurs_Entrées,Paiement_Mensuel,""), "")</f>
        <v>402.90410647920658</v>
      </c>
      <c r="F72" s="36" t="str">
        <f>IFERROR(IF(Prêt_Non_Payé*Valeurs_Entrées,Capital,""), "")</f>
        <v/>
      </c>
      <c r="G72" s="36">
        <f>IFERROR(IF(Prêt_Non_Payé*Valeurs_Entrées,Intérêts,""), "")</f>
        <v>92.828697678162655</v>
      </c>
      <c r="H72" s="36">
        <f>IFERROR(IF(Prêt_Non_Payé*Valeurs_Entrées,Solde_Final,""), "")</f>
        <v>42533.938904196955</v>
      </c>
    </row>
    <row r="73" spans="2:10" x14ac:dyDescent="0.25">
      <c r="B73" s="34">
        <f>IFERROR(IF(Prêt_Non_Payé*Valeurs_Entrées,Numéro_Paiement,""), "")</f>
        <v>61</v>
      </c>
      <c r="C73" s="35">
        <f>IFERROR(IF(Prêt_Non_Payé*Valeurs_Entrées,Date_Paiement,""), "")</f>
        <v>46419</v>
      </c>
      <c r="D73" s="36">
        <f>IFERROR(IF(Prêt_Non_Payé*Valeurs_Entrées,Solde_Départ,""), "")</f>
        <v>42533.938904196955</v>
      </c>
      <c r="E73" s="36">
        <f>IFERROR(IF(Prêt_Non_Payé*Valeurs_Entrées,Paiement_Mensuel,""), "")</f>
        <v>402.90410647920658</v>
      </c>
      <c r="F73" s="36" t="str">
        <f>IFERROR(IF(Prêt_Non_Payé*Valeurs_Entrées,Capital,""), "")</f>
        <v/>
      </c>
      <c r="G73" s="36">
        <f>IFERROR(IF(Prêt_Non_Payé*Valeurs_Entrées,Intérêts,""), "")</f>
        <v>92.156867625760398</v>
      </c>
      <c r="H73" s="36">
        <f>IFERROR(IF(Prêt_Non_Payé*Valeurs_Entrées,Solde_Final,""), "")</f>
        <v>42223.191665343504</v>
      </c>
    </row>
    <row r="74" spans="2:10" x14ac:dyDescent="0.25">
      <c r="B74" s="34">
        <f>IFERROR(IF(Prêt_Non_Payé*Valeurs_Entrées,Numéro_Paiement,""), "")</f>
        <v>62</v>
      </c>
      <c r="C74" s="35">
        <f>IFERROR(IF(Prêt_Non_Payé*Valeurs_Entrées,Date_Paiement,""), "")</f>
        <v>46447</v>
      </c>
      <c r="D74" s="36">
        <f>IFERROR(IF(Prêt_Non_Payé*Valeurs_Entrées,Solde_Départ,""), "")</f>
        <v>42223.191665343504</v>
      </c>
      <c r="E74" s="36">
        <f>IFERROR(IF(Prêt_Non_Payé*Valeurs_Entrées,Paiement_Mensuel,""), "")</f>
        <v>402.90410647920658</v>
      </c>
      <c r="F74" s="36" t="str">
        <f>IFERROR(IF(Prêt_Non_Payé*Valeurs_Entrées,Capital,""), "")</f>
        <v/>
      </c>
      <c r="G74" s="36">
        <f>IFERROR(IF(Prêt_Non_Payé*Valeurs_Entrées,Intérêts,""), "")</f>
        <v>91.483581941577924</v>
      </c>
      <c r="H74" s="36">
        <f>IFERROR(IF(Prêt_Non_Payé*Valeurs_Entrées,Solde_Final,""), "")</f>
        <v>41911.771140805853</v>
      </c>
    </row>
    <row r="75" spans="2:10" x14ac:dyDescent="0.25">
      <c r="B75" s="34">
        <f>IFERROR(IF(Prêt_Non_Payé*Valeurs_Entrées,Numéro_Paiement,""), "")</f>
        <v>63</v>
      </c>
      <c r="C75" s="35">
        <f>IFERROR(IF(Prêt_Non_Payé*Valeurs_Entrées,Date_Paiement,""), "")</f>
        <v>46478</v>
      </c>
      <c r="D75" s="36">
        <f>IFERROR(IF(Prêt_Non_Payé*Valeurs_Entrées,Solde_Départ,""), "")</f>
        <v>41911.771140805853</v>
      </c>
      <c r="E75" s="36">
        <f>IFERROR(IF(Prêt_Non_Payé*Valeurs_Entrées,Paiement_Mensuel,""), "")</f>
        <v>402.90410647920658</v>
      </c>
      <c r="F75" s="36" t="str">
        <f>IFERROR(IF(Prêt_Non_Payé*Valeurs_Entrées,Capital,""), "")</f>
        <v/>
      </c>
      <c r="G75" s="36">
        <f>IFERROR(IF(Prêt_Non_Payé*Valeurs_Entrées,Intérêts,""), "")</f>
        <v>90.808837471746401</v>
      </c>
      <c r="H75" s="36">
        <f>IFERROR(IF(Prêt_Non_Payé*Valeurs_Entrées,Solde_Final,""), "")</f>
        <v>41599.675871798383</v>
      </c>
    </row>
    <row r="76" spans="2:10" x14ac:dyDescent="0.25">
      <c r="B76" s="34">
        <f>IFERROR(IF(Prêt_Non_Payé*Valeurs_Entrées,Numéro_Paiement,""), "")</f>
        <v>64</v>
      </c>
      <c r="C76" s="35">
        <f>IFERROR(IF(Prêt_Non_Payé*Valeurs_Entrées,Date_Paiement,""), "")</f>
        <v>46508</v>
      </c>
      <c r="D76" s="36">
        <f>IFERROR(IF(Prêt_Non_Payé*Valeurs_Entrées,Solde_Départ,""), "")</f>
        <v>41599.675871798383</v>
      </c>
      <c r="E76" s="36">
        <f>IFERROR(IF(Prêt_Non_Payé*Valeurs_Entrées,Paiement_Mensuel,""), "")</f>
        <v>402.90410647920658</v>
      </c>
      <c r="F76" s="36" t="str">
        <f>IFERROR(IF(Prêt_Non_Payé*Valeurs_Entrées,Capital,""), "")</f>
        <v/>
      </c>
      <c r="G76" s="36">
        <f>IFERROR(IF(Prêt_Non_Payé*Valeurs_Entrées,Intérêts,""), "")</f>
        <v>90.132631055563579</v>
      </c>
      <c r="H76" s="36">
        <f>IFERROR(IF(Prêt_Non_Payé*Valeurs_Entrées,Solde_Final,""), "")</f>
        <v>41286.904396374754</v>
      </c>
    </row>
    <row r="77" spans="2:10" x14ac:dyDescent="0.25">
      <c r="B77" s="34">
        <f>IFERROR(IF(Prêt_Non_Payé*Valeurs_Entrées,Numéro_Paiement,""), "")</f>
        <v>65</v>
      </c>
      <c r="C77" s="35">
        <f>IFERROR(IF(Prêt_Non_Payé*Valeurs_Entrées,Date_Paiement,""), "")</f>
        <v>46539</v>
      </c>
      <c r="D77" s="36">
        <f>IFERROR(IF(Prêt_Non_Payé*Valeurs_Entrées,Solde_Départ,""), "")</f>
        <v>41286.904396374754</v>
      </c>
      <c r="E77" s="36">
        <f>IFERROR(IF(Prêt_Non_Payé*Valeurs_Entrées,Paiement_Mensuel,""), "")</f>
        <v>402.90410647920658</v>
      </c>
      <c r="F77" s="36" t="str">
        <f>IFERROR(IF(Prêt_Non_Payé*Valeurs_Entrées,Capital,""), "")</f>
        <v/>
      </c>
      <c r="G77" s="36">
        <f>IFERROR(IF(Prêt_Non_Payé*Valeurs_Entrées,Intérêts,""), "")</f>
        <v>89.454959525479026</v>
      </c>
      <c r="H77" s="36">
        <f>IFERROR(IF(Prêt_Non_Payé*Valeurs_Entrées,Solde_Final,""), "")</f>
        <v>40973.455249421037</v>
      </c>
      <c r="J77" s="33">
        <f>IF(SUM(G61:G71)="",0,SUM(G61:G71))</f>
        <v>1065.0432838492211</v>
      </c>
    </row>
    <row r="78" spans="2:10" x14ac:dyDescent="0.25">
      <c r="B78" s="34">
        <f>IFERROR(IF(Prêt_Non_Payé*Valeurs_Entrées,Numéro_Paiement,""), "")</f>
        <v>66</v>
      </c>
      <c r="C78" s="35">
        <f>IFERROR(IF(Prêt_Non_Payé*Valeurs_Entrées,Date_Paiement,""), "")</f>
        <v>46569</v>
      </c>
      <c r="D78" s="36">
        <f>IFERROR(IF(Prêt_Non_Payé*Valeurs_Entrées,Solde_Départ,""), "")</f>
        <v>40973.455249421037</v>
      </c>
      <c r="E78" s="36">
        <f>IFERROR(IF(Prêt_Non_Payé*Valeurs_Entrées,Paiement_Mensuel,""), "")</f>
        <v>402.90410647920658</v>
      </c>
      <c r="F78" s="36" t="str">
        <f>IFERROR(IF(Prêt_Non_Payé*Valeurs_Entrées,Capital,""), "")</f>
        <v/>
      </c>
      <c r="G78" s="36">
        <f>IFERROR(IF(Prêt_Non_Payé*Valeurs_Entrées,Intérêts,""), "")</f>
        <v>88.775819707079293</v>
      </c>
      <c r="H78" s="36">
        <f>IFERROR(IF(Prêt_Non_Payé*Valeurs_Entrées,Solde_Final,""), "")</f>
        <v>40659.326962648891</v>
      </c>
    </row>
    <row r="79" spans="2:10" x14ac:dyDescent="0.25">
      <c r="B79" s="34">
        <f>IFERROR(IF(Prêt_Non_Payé*Valeurs_Entrées,Numéro_Paiement,""), "")</f>
        <v>67</v>
      </c>
      <c r="C79" s="35">
        <f>IFERROR(IF(Prêt_Non_Payé*Valeurs_Entrées,Date_Paiement,""), "")</f>
        <v>46600</v>
      </c>
      <c r="D79" s="36">
        <f>IFERROR(IF(Prêt_Non_Payé*Valeurs_Entrées,Solde_Départ,""), "")</f>
        <v>40659.326962648891</v>
      </c>
      <c r="E79" s="36">
        <f>IFERROR(IF(Prêt_Non_Payé*Valeurs_Entrées,Paiement_Mensuel,""), "")</f>
        <v>402.90410647920658</v>
      </c>
      <c r="F79" s="36" t="str">
        <f>IFERROR(IF(Prêt_Non_Payé*Valeurs_Entrées,Capital,""), "")</f>
        <v/>
      </c>
      <c r="G79" s="36">
        <f>IFERROR(IF(Prêt_Non_Payé*Valeurs_Entrées,Intérêts,""), "")</f>
        <v>88.095208419073003</v>
      </c>
      <c r="H79" s="36">
        <f>IFERROR(IF(Prêt_Non_Payé*Valeurs_Entrées,Solde_Final,""), "")</f>
        <v>40344.518064588745</v>
      </c>
    </row>
    <row r="80" spans="2:10" x14ac:dyDescent="0.25">
      <c r="B80" s="34">
        <f>IFERROR(IF(Prêt_Non_Payé*Valeurs_Entrées,Numéro_Paiement,""), "")</f>
        <v>68</v>
      </c>
      <c r="C80" s="35">
        <f>IFERROR(IF(Prêt_Non_Payé*Valeurs_Entrées,Date_Paiement,""), "")</f>
        <v>46631</v>
      </c>
      <c r="D80" s="36">
        <f>IFERROR(IF(Prêt_Non_Payé*Valeurs_Entrées,Solde_Départ,""), "")</f>
        <v>40344.518064588745</v>
      </c>
      <c r="E80" s="36">
        <f>IFERROR(IF(Prêt_Non_Payé*Valeurs_Entrées,Paiement_Mensuel,""), "")</f>
        <v>402.90410647920658</v>
      </c>
      <c r="F80" s="36" t="str">
        <f>IFERROR(IF(Prêt_Non_Payé*Valeurs_Entrées,Capital,""), "")</f>
        <v/>
      </c>
      <c r="G80" s="36">
        <f>IFERROR(IF(Prêt_Non_Payé*Valeurs_Entrées,Intérêts,""), "")</f>
        <v>87.413122473276047</v>
      </c>
      <c r="H80" s="36">
        <f>IFERROR(IF(Prêt_Non_Payé*Valeurs_Entrées,Solde_Final,""), "")</f>
        <v>40029.027080582819</v>
      </c>
    </row>
    <row r="81" spans="2:10" x14ac:dyDescent="0.25">
      <c r="B81" s="34">
        <f>IFERROR(IF(Prêt_Non_Payé*Valeurs_Entrées,Numéro_Paiement,""), "")</f>
        <v>69</v>
      </c>
      <c r="C81" s="35">
        <f>IFERROR(IF(Prêt_Non_Payé*Valeurs_Entrées,Date_Paiement,""), "")</f>
        <v>46661</v>
      </c>
      <c r="D81" s="36">
        <f>IFERROR(IF(Prêt_Non_Payé*Valeurs_Entrées,Solde_Départ,""), "")</f>
        <v>40029.027080582819</v>
      </c>
      <c r="E81" s="36">
        <f>IFERROR(IF(Prêt_Non_Payé*Valeurs_Entrées,Paiement_Mensuel,""), "")</f>
        <v>402.90410647920658</v>
      </c>
      <c r="F81" s="36" t="str">
        <f>IFERROR(IF(Prêt_Non_Payé*Valeurs_Entrées,Capital,""), "")</f>
        <v/>
      </c>
      <c r="G81" s="36">
        <f>IFERROR(IF(Prêt_Non_Payé*Valeurs_Entrées,Intérêts,""), "")</f>
        <v>86.729558674596532</v>
      </c>
      <c r="H81" s="36">
        <f>IFERROR(IF(Prêt_Non_Payé*Valeurs_Entrées,Solde_Final,""), "")</f>
        <v>39712.852532778212</v>
      </c>
    </row>
    <row r="82" spans="2:10" x14ac:dyDescent="0.25">
      <c r="B82" s="34">
        <f>IFERROR(IF(Prêt_Non_Payé*Valeurs_Entrées,Numéro_Paiement,""), "")</f>
        <v>70</v>
      </c>
      <c r="C82" s="35">
        <f>IFERROR(IF(Prêt_Non_Payé*Valeurs_Entrées,Date_Paiement,""), "")</f>
        <v>46692</v>
      </c>
      <c r="D82" s="36">
        <f>IFERROR(IF(Prêt_Non_Payé*Valeurs_Entrées,Solde_Départ,""), "")</f>
        <v>39712.852532778212</v>
      </c>
      <c r="E82" s="36">
        <f>IFERROR(IF(Prêt_Non_Payé*Valeurs_Entrées,Paiement_Mensuel,""), "")</f>
        <v>402.90410647920658</v>
      </c>
      <c r="F82" s="36" t="str">
        <f>IFERROR(IF(Prêt_Non_Payé*Valeurs_Entrées,Capital,""), "")</f>
        <v/>
      </c>
      <c r="G82" s="36">
        <f>IFERROR(IF(Prêt_Non_Payé*Valeurs_Entrées,Intérêts,""), "")</f>
        <v>86.044513821019862</v>
      </c>
      <c r="H82" s="36">
        <f>IFERROR(IF(Prêt_Non_Payé*Valeurs_Entrées,Solde_Final,""), "")</f>
        <v>39395.99294012005</v>
      </c>
    </row>
    <row r="83" spans="2:10" x14ac:dyDescent="0.25">
      <c r="B83" s="34">
        <f>IFERROR(IF(Prêt_Non_Payé*Valeurs_Entrées,Numéro_Paiement,""), "")</f>
        <v>71</v>
      </c>
      <c r="C83" s="35">
        <f>IFERROR(IF(Prêt_Non_Payé*Valeurs_Entrées,Date_Paiement,""), "")</f>
        <v>46722</v>
      </c>
      <c r="D83" s="36">
        <f>IFERROR(IF(Prêt_Non_Payé*Valeurs_Entrées,Solde_Départ,""), "")</f>
        <v>39395.99294012005</v>
      </c>
      <c r="E83" s="36">
        <f>IFERROR(IF(Prêt_Non_Payé*Valeurs_Entrées,Paiement_Mensuel,""), "")</f>
        <v>402.90410647920658</v>
      </c>
      <c r="F83" s="36" t="str">
        <f>IFERROR(IF(Prêt_Non_Payé*Valeurs_Entrées,Capital,""), "")</f>
        <v/>
      </c>
      <c r="G83" s="36">
        <f>IFERROR(IF(Prêt_Non_Payé*Valeurs_Entrées,Intérêts,""), "")</f>
        <v>85.3579847035938</v>
      </c>
      <c r="H83" s="36">
        <f>IFERROR(IF(Prêt_Non_Payé*Valeurs_Entrées,Solde_Final,""), "")</f>
        <v>39078.44681834439</v>
      </c>
    </row>
    <row r="84" spans="2:10" x14ac:dyDescent="0.25">
      <c r="B84" s="34">
        <f>IFERROR(IF(Prêt_Non_Payé*Valeurs_Entrées,Numéro_Paiement,""), "")</f>
        <v>72</v>
      </c>
      <c r="C84" s="35">
        <f>IFERROR(IF(Prêt_Non_Payé*Valeurs_Entrées,Date_Paiement,""), "")</f>
        <v>46753</v>
      </c>
      <c r="D84" s="36">
        <f>IFERROR(IF(Prêt_Non_Payé*Valeurs_Entrées,Solde_Départ,""), "")</f>
        <v>39078.44681834439</v>
      </c>
      <c r="E84" s="36">
        <f>IFERROR(IF(Prêt_Non_Payé*Valeurs_Entrées,Paiement_Mensuel,""), "")</f>
        <v>402.90410647920658</v>
      </c>
      <c r="F84" s="36" t="str">
        <f>IFERROR(IF(Prêt_Non_Payé*Valeurs_Entrées,Capital,""), "")</f>
        <v/>
      </c>
      <c r="G84" s="36">
        <f>IFERROR(IF(Prêt_Non_Payé*Valeurs_Entrées,Intérêts,""), "")</f>
        <v>84.669968106413307</v>
      </c>
      <c r="H84" s="36">
        <f>IFERROR(IF(Prêt_Non_Payé*Valeurs_Entrées,Solde_Final,""), "")</f>
        <v>38760.212679971599</v>
      </c>
    </row>
    <row r="85" spans="2:10" x14ac:dyDescent="0.25">
      <c r="B85" s="34">
        <f>IFERROR(IF(Prêt_Non_Payé*Valeurs_Entrées,Numéro_Paiement,""), "")</f>
        <v>73</v>
      </c>
      <c r="C85" s="35">
        <f>IFERROR(IF(Prêt_Non_Payé*Valeurs_Entrées,Date_Paiement,""), "")</f>
        <v>46784</v>
      </c>
      <c r="D85" s="36">
        <f>IFERROR(IF(Prêt_Non_Payé*Valeurs_Entrées,Solde_Départ,""), "")</f>
        <v>38760.212679971599</v>
      </c>
      <c r="E85" s="36">
        <f>IFERROR(IF(Prêt_Non_Payé*Valeurs_Entrées,Paiement_Mensuel,""), "")</f>
        <v>402.90410647920658</v>
      </c>
      <c r="F85" s="36" t="str">
        <f>IFERROR(IF(Prêt_Non_Payé*Valeurs_Entrées,Capital,""), "")</f>
        <v/>
      </c>
      <c r="G85" s="36">
        <f>IFERROR(IF(Prêt_Non_Payé*Valeurs_Entrées,Intérêts,""), "")</f>
        <v>83.980460806605606</v>
      </c>
      <c r="H85" s="36">
        <f>IFERROR(IF(Prêt_Non_Payé*Valeurs_Entrées,Solde_Final,""), "")</f>
        <v>38441.289034298978</v>
      </c>
    </row>
    <row r="86" spans="2:10" x14ac:dyDescent="0.25">
      <c r="B86" s="34">
        <f>IFERROR(IF(Prêt_Non_Payé*Valeurs_Entrées,Numéro_Paiement,""), "")</f>
        <v>74</v>
      </c>
      <c r="C86" s="35">
        <f>IFERROR(IF(Prêt_Non_Payé*Valeurs_Entrées,Date_Paiement,""), "")</f>
        <v>46813</v>
      </c>
      <c r="D86" s="36">
        <f>IFERROR(IF(Prêt_Non_Payé*Valeurs_Entrées,Solde_Départ,""), "")</f>
        <v>38441.289034298978</v>
      </c>
      <c r="E86" s="36">
        <f>IFERROR(IF(Prêt_Non_Payé*Valeurs_Entrées,Paiement_Mensuel,""), "")</f>
        <v>402.90410647920658</v>
      </c>
      <c r="F86" s="36" t="str">
        <f>IFERROR(IF(Prêt_Non_Payé*Valeurs_Entrées,Capital,""), "")</f>
        <v/>
      </c>
      <c r="G86" s="36">
        <f>IFERROR(IF(Prêt_Non_Payé*Valeurs_Entrées,Intérêts,""), "")</f>
        <v>83.289459574314947</v>
      </c>
      <c r="H86" s="36">
        <f>IFERROR(IF(Prêt_Non_Payé*Valeurs_Entrées,Solde_Final,""), "")</f>
        <v>38121.674387394116</v>
      </c>
    </row>
    <row r="87" spans="2:10" x14ac:dyDescent="0.25">
      <c r="B87" s="34">
        <f>IFERROR(IF(Prêt_Non_Payé*Valeurs_Entrées,Numéro_Paiement,""), "")</f>
        <v>75</v>
      </c>
      <c r="C87" s="35">
        <f>IFERROR(IF(Prêt_Non_Payé*Valeurs_Entrées,Date_Paiement,""), "")</f>
        <v>46844</v>
      </c>
      <c r="D87" s="36">
        <f>IFERROR(IF(Prêt_Non_Payé*Valeurs_Entrées,Solde_Départ,""), "")</f>
        <v>38121.674387394116</v>
      </c>
      <c r="E87" s="36">
        <f>IFERROR(IF(Prêt_Non_Payé*Valeurs_Entrées,Paiement_Mensuel,""), "")</f>
        <v>402.90410647920658</v>
      </c>
      <c r="F87" s="36" t="str">
        <f>IFERROR(IF(Prêt_Non_Payé*Valeurs_Entrées,Capital,""), "")</f>
        <v/>
      </c>
      <c r="G87" s="36">
        <f>IFERROR(IF(Prêt_Non_Payé*Valeurs_Entrées,Intérêts,""), "")</f>
        <v>82.596961172687685</v>
      </c>
      <c r="H87" s="36">
        <f>IFERROR(IF(Prêt_Non_Payé*Valeurs_Entrées,Solde_Final,""), "")</f>
        <v>37801.367242087581</v>
      </c>
    </row>
    <row r="88" spans="2:10" x14ac:dyDescent="0.25">
      <c r="B88" s="34">
        <f>IFERROR(IF(Prêt_Non_Payé*Valeurs_Entrées,Numéro_Paiement,""), "")</f>
        <v>76</v>
      </c>
      <c r="C88" s="35">
        <f>IFERROR(IF(Prêt_Non_Payé*Valeurs_Entrées,Date_Paiement,""), "")</f>
        <v>46874</v>
      </c>
      <c r="D88" s="36">
        <f>IFERROR(IF(Prêt_Non_Payé*Valeurs_Entrées,Solde_Départ,""), "")</f>
        <v>37801.367242087581</v>
      </c>
      <c r="E88" s="36">
        <f>IFERROR(IF(Prêt_Non_Payé*Valeurs_Entrées,Paiement_Mensuel,""), "")</f>
        <v>402.90410647920658</v>
      </c>
      <c r="F88" s="36" t="str">
        <f>IFERROR(IF(Prêt_Non_Payé*Valeurs_Entrées,Capital,""), "")</f>
        <v/>
      </c>
      <c r="G88" s="36">
        <f>IFERROR(IF(Prêt_Non_Payé*Valeurs_Entrées,Intérêts,""), "")</f>
        <v>81.902962357856893</v>
      </c>
      <c r="H88" s="36">
        <f>IFERROR(IF(Prêt_Non_Payé*Valeurs_Entrées,Solde_Final,""), "")</f>
        <v>37480.36609796626</v>
      </c>
    </row>
    <row r="89" spans="2:10" x14ac:dyDescent="0.25">
      <c r="B89" s="34">
        <f>IFERROR(IF(Prêt_Non_Payé*Valeurs_Entrées,Numéro_Paiement,""), "")</f>
        <v>77</v>
      </c>
      <c r="C89" s="35">
        <f>IFERROR(IF(Prêt_Non_Payé*Valeurs_Entrées,Date_Paiement,""), "")</f>
        <v>46905</v>
      </c>
      <c r="D89" s="36">
        <f>IFERROR(IF(Prêt_Non_Payé*Valeurs_Entrées,Solde_Départ,""), "")</f>
        <v>37480.36609796626</v>
      </c>
      <c r="E89" s="36">
        <f>IFERROR(IF(Prêt_Non_Payé*Valeurs_Entrées,Paiement_Mensuel,""), "")</f>
        <v>402.90410647920658</v>
      </c>
      <c r="F89" s="36" t="str">
        <f>IFERROR(IF(Prêt_Non_Payé*Valeurs_Entrées,Capital,""), "")</f>
        <v/>
      </c>
      <c r="G89" s="36">
        <f>IFERROR(IF(Prêt_Non_Payé*Valeurs_Entrées,Intérêts,""), "")</f>
        <v>81.20745987892731</v>
      </c>
      <c r="H89" s="36">
        <f>IFERROR(IF(Prêt_Non_Payé*Valeurs_Entrées,Solde_Final,""), "")</f>
        <v>37158.669451365968</v>
      </c>
      <c r="J89" s="33">
        <f>IF(SUM(G73:G83)="",0,SUM(G73:G83))</f>
        <v>976.45308541876591</v>
      </c>
    </row>
    <row r="90" spans="2:10" x14ac:dyDescent="0.25">
      <c r="B90" s="34">
        <f>IFERROR(IF(Prêt_Non_Payé*Valeurs_Entrées,Numéro_Paiement,""), "")</f>
        <v>78</v>
      </c>
      <c r="C90" s="35">
        <f>IFERROR(IF(Prêt_Non_Payé*Valeurs_Entrées,Date_Paiement,""), "")</f>
        <v>46935</v>
      </c>
      <c r="D90" s="36">
        <f>IFERROR(IF(Prêt_Non_Payé*Valeurs_Entrées,Solde_Départ,""), "")</f>
        <v>37158.669451365968</v>
      </c>
      <c r="E90" s="36">
        <f>IFERROR(IF(Prêt_Non_Payé*Valeurs_Entrées,Paiement_Mensuel,""), "")</f>
        <v>402.90410647920658</v>
      </c>
      <c r="F90" s="36" t="str">
        <f>IFERROR(IF(Prêt_Non_Payé*Valeurs_Entrées,Capital,""), "")</f>
        <v/>
      </c>
      <c r="G90" s="36">
        <f>IFERROR(IF(Prêt_Non_Payé*Valeurs_Entrées,Intérêts,""), "")</f>
        <v>80.510450477960021</v>
      </c>
      <c r="H90" s="36">
        <f>IFERROR(IF(Prêt_Non_Payé*Valeurs_Entrées,Solde_Final,""), "")</f>
        <v>36836.275795364701</v>
      </c>
    </row>
    <row r="91" spans="2:10" x14ac:dyDescent="0.25">
      <c r="B91" s="34">
        <f>IFERROR(IF(Prêt_Non_Payé*Valeurs_Entrées,Numéro_Paiement,""), "")</f>
        <v>79</v>
      </c>
      <c r="C91" s="35">
        <f>IFERROR(IF(Prêt_Non_Payé*Valeurs_Entrées,Date_Paiement,""), "")</f>
        <v>46966</v>
      </c>
      <c r="D91" s="36">
        <f>IFERROR(IF(Prêt_Non_Payé*Valeurs_Entrées,Solde_Départ,""), "")</f>
        <v>36836.275795364701</v>
      </c>
      <c r="E91" s="36">
        <f>IFERROR(IF(Prêt_Non_Payé*Valeurs_Entrées,Paiement_Mensuel,""), "")</f>
        <v>402.90410647920658</v>
      </c>
      <c r="F91" s="36" t="str">
        <f>IFERROR(IF(Prêt_Non_Payé*Valeurs_Entrées,Capital,""), "")</f>
        <v/>
      </c>
      <c r="G91" s="36">
        <f>IFERROR(IF(Prêt_Non_Payé*Valeurs_Entrées,Intérêts,""), "")</f>
        <v>79.811930889957338</v>
      </c>
      <c r="H91" s="36">
        <f>IFERROR(IF(Prêt_Non_Payé*Valeurs_Entrées,Solde_Final,""), "")</f>
        <v>36513.183619775416</v>
      </c>
    </row>
    <row r="92" spans="2:10" x14ac:dyDescent="0.25">
      <c r="B92" s="34">
        <f>IFERROR(IF(Prêt_Non_Payé*Valeurs_Entrées,Numéro_Paiement,""), "")</f>
        <v>80</v>
      </c>
      <c r="C92" s="35">
        <f>IFERROR(IF(Prêt_Non_Payé*Valeurs_Entrées,Date_Paiement,""), "")</f>
        <v>46997</v>
      </c>
      <c r="D92" s="36">
        <f>IFERROR(IF(Prêt_Non_Payé*Valeurs_Entrées,Solde_Départ,""), "")</f>
        <v>36513.183619775416</v>
      </c>
      <c r="E92" s="36">
        <f>IFERROR(IF(Prêt_Non_Payé*Valeurs_Entrées,Paiement_Mensuel,""), "")</f>
        <v>402.90410647920658</v>
      </c>
      <c r="F92" s="36" t="str">
        <f>IFERROR(IF(Prêt_Non_Payé*Valeurs_Entrées,Capital,""), "")</f>
        <v/>
      </c>
      <c r="G92" s="36">
        <f>IFERROR(IF(Prêt_Non_Payé*Valeurs_Entrées,Intérêts,""), "")</f>
        <v>79.111897842847299</v>
      </c>
      <c r="H92" s="36">
        <f>IFERROR(IF(Prêt_Non_Payé*Valeurs_Entrées,Solde_Final,""), "")</f>
        <v>36189.391411139055</v>
      </c>
    </row>
    <row r="93" spans="2:10" x14ac:dyDescent="0.25">
      <c r="B93" s="34">
        <f>IFERROR(IF(Prêt_Non_Payé*Valeurs_Entrées,Numéro_Paiement,""), "")</f>
        <v>81</v>
      </c>
      <c r="C93" s="35">
        <f>IFERROR(IF(Prêt_Non_Payé*Valeurs_Entrées,Date_Paiement,""), "")</f>
        <v>47027</v>
      </c>
      <c r="D93" s="36">
        <f>IFERROR(IF(Prêt_Non_Payé*Valeurs_Entrées,Solde_Départ,""), "")</f>
        <v>36189.391411139055</v>
      </c>
      <c r="E93" s="36">
        <f>IFERROR(IF(Prêt_Non_Payé*Valeurs_Entrées,Paiement_Mensuel,""), "")</f>
        <v>402.90410647920658</v>
      </c>
      <c r="F93" s="36" t="str">
        <f>IFERROR(IF(Prêt_Non_Payé*Valeurs_Entrées,Capital,""), "")</f>
        <v/>
      </c>
      <c r="G93" s="36">
        <f>IFERROR(IF(Prêt_Non_Payé*Valeurs_Entrées,Intérêts,""), "")</f>
        <v>78.410348057468539</v>
      </c>
      <c r="H93" s="36">
        <f>IFERROR(IF(Prêt_Non_Payé*Valeurs_Entrées,Solde_Final,""), "")</f>
        <v>35864.897652717322</v>
      </c>
    </row>
    <row r="94" spans="2:10" x14ac:dyDescent="0.25">
      <c r="B94" s="34">
        <f>IFERROR(IF(Prêt_Non_Payé*Valeurs_Entrées,Numéro_Paiement,""), "")</f>
        <v>82</v>
      </c>
      <c r="C94" s="35">
        <f>IFERROR(IF(Prêt_Non_Payé*Valeurs_Entrées,Date_Paiement,""), "")</f>
        <v>47058</v>
      </c>
      <c r="D94" s="36">
        <f>IFERROR(IF(Prêt_Non_Payé*Valeurs_Entrées,Solde_Départ,""), "")</f>
        <v>35864.897652717322</v>
      </c>
      <c r="E94" s="36">
        <f>IFERROR(IF(Prêt_Non_Payé*Valeurs_Entrées,Paiement_Mensuel,""), "")</f>
        <v>402.90410647920658</v>
      </c>
      <c r="F94" s="36" t="str">
        <f>IFERROR(IF(Prêt_Non_Payé*Valeurs_Entrées,Capital,""), "")</f>
        <v/>
      </c>
      <c r="G94" s="36">
        <f>IFERROR(IF(Prêt_Non_Payé*Valeurs_Entrées,Intérêts,""), "")</f>
        <v>77.70727824755474</v>
      </c>
      <c r="H94" s="36">
        <f>IFERROR(IF(Prêt_Non_Payé*Valeurs_Entrées,Solde_Final,""), "")</f>
        <v>35539.700824485692</v>
      </c>
    </row>
    <row r="95" spans="2:10" x14ac:dyDescent="0.25">
      <c r="B95" s="34">
        <f>IFERROR(IF(Prêt_Non_Payé*Valeurs_Entrées,Numéro_Paiement,""), "")</f>
        <v>83</v>
      </c>
      <c r="C95" s="35">
        <f>IFERROR(IF(Prêt_Non_Payé*Valeurs_Entrées,Date_Paiement,""), "")</f>
        <v>47088</v>
      </c>
      <c r="D95" s="36">
        <f>IFERROR(IF(Prêt_Non_Payé*Valeurs_Entrées,Solde_Départ,""), "")</f>
        <v>35539.700824485692</v>
      </c>
      <c r="E95" s="36">
        <f>IFERROR(IF(Prêt_Non_Payé*Valeurs_Entrées,Paiement_Mensuel,""), "")</f>
        <v>402.90410647920658</v>
      </c>
      <c r="F95" s="36" t="str">
        <f>IFERROR(IF(Prêt_Non_Payé*Valeurs_Entrées,Capital,""), "")</f>
        <v/>
      </c>
      <c r="G95" s="36">
        <f>IFERROR(IF(Prêt_Non_Payé*Valeurs_Entrées,Intérêts,""), "")</f>
        <v>77.002685119719501</v>
      </c>
      <c r="H95" s="36">
        <f>IFERROR(IF(Prêt_Non_Payé*Valeurs_Entrées,Solde_Final,""), "")</f>
        <v>35213.799403126206</v>
      </c>
    </row>
    <row r="96" spans="2:10" x14ac:dyDescent="0.25">
      <c r="B96" s="34">
        <f>IFERROR(IF(Prêt_Non_Payé*Valeurs_Entrées,Numéro_Paiement,""), "")</f>
        <v>84</v>
      </c>
      <c r="C96" s="35">
        <f>IFERROR(IF(Prêt_Non_Payé*Valeurs_Entrées,Date_Paiement,""), "")</f>
        <v>47119</v>
      </c>
      <c r="D96" s="36">
        <f>IFERROR(IF(Prêt_Non_Payé*Valeurs_Entrées,Solde_Départ,""), "")</f>
        <v>35213.799403126206</v>
      </c>
      <c r="E96" s="36">
        <f>IFERROR(IF(Prêt_Non_Payé*Valeurs_Entrées,Paiement_Mensuel,""), "")</f>
        <v>402.90410647920658</v>
      </c>
      <c r="F96" s="36" t="str">
        <f>IFERROR(IF(Prêt_Non_Payé*Valeurs_Entrées,Capital,""), "")</f>
        <v/>
      </c>
      <c r="G96" s="36">
        <f>IFERROR(IF(Prêt_Non_Payé*Valeurs_Entrées,Intérêts,""), "")</f>
        <v>76.296565373440615</v>
      </c>
      <c r="H96" s="36">
        <f>IFERROR(IF(Prêt_Non_Payé*Valeurs_Entrées,Solde_Final,""), "")</f>
        <v>34887.191862020423</v>
      </c>
    </row>
    <row r="97" spans="2:10" x14ac:dyDescent="0.25">
      <c r="B97" s="34">
        <f>IFERROR(IF(Prêt_Non_Payé*Valeurs_Entrées,Numéro_Paiement,""), "")</f>
        <v>85</v>
      </c>
      <c r="C97" s="35">
        <f>IFERROR(IF(Prêt_Non_Payé*Valeurs_Entrées,Date_Paiement,""), "")</f>
        <v>47150</v>
      </c>
      <c r="D97" s="36">
        <f>IFERROR(IF(Prêt_Non_Payé*Valeurs_Entrées,Solde_Départ,""), "")</f>
        <v>34887.191862020423</v>
      </c>
      <c r="E97" s="36">
        <f>IFERROR(IF(Prêt_Non_Payé*Valeurs_Entrées,Paiement_Mensuel,""), "")</f>
        <v>402.90410647920658</v>
      </c>
      <c r="F97" s="36" t="str">
        <f>IFERROR(IF(Prêt_Non_Payé*Valeurs_Entrées,Capital,""), "")</f>
        <v/>
      </c>
      <c r="G97" s="36">
        <f>IFERROR(IF(Prêt_Non_Payé*Valeurs_Entrées,Intérêts,""), "")</f>
        <v>75.588915701044783</v>
      </c>
      <c r="H97" s="36">
        <f>IFERROR(IF(Prêt_Non_Payé*Valeurs_Entrées,Solde_Final,""), "")</f>
        <v>34559.876671242237</v>
      </c>
    </row>
    <row r="98" spans="2:10" x14ac:dyDescent="0.25">
      <c r="B98" s="34">
        <f>IFERROR(IF(Prêt_Non_Payé*Valeurs_Entrées,Numéro_Paiement,""), "")</f>
        <v>86</v>
      </c>
      <c r="C98" s="35">
        <f>IFERROR(IF(Prêt_Non_Payé*Valeurs_Entrées,Date_Paiement,""), "")</f>
        <v>47178</v>
      </c>
      <c r="D98" s="36">
        <f>IFERROR(IF(Prêt_Non_Payé*Valeurs_Entrées,Solde_Départ,""), "")</f>
        <v>34559.876671242237</v>
      </c>
      <c r="E98" s="36">
        <f>IFERROR(IF(Prêt_Non_Payé*Valeurs_Entrées,Paiement_Mensuel,""), "")</f>
        <v>402.90410647920658</v>
      </c>
      <c r="F98" s="36" t="str">
        <f>IFERROR(IF(Prêt_Non_Payé*Valeurs_Entrées,Capital,""), "")</f>
        <v/>
      </c>
      <c r="G98" s="36">
        <f>IFERROR(IF(Prêt_Non_Payé*Valeurs_Entrées,Intérêts,""), "")</f>
        <v>74.879732787692106</v>
      </c>
      <c r="H98" s="36">
        <f>IFERROR(IF(Prêt_Non_Payé*Valeurs_Entrées,Solde_Final,""), "")</f>
        <v>34231.852297550751</v>
      </c>
    </row>
    <row r="99" spans="2:10" x14ac:dyDescent="0.25">
      <c r="B99" s="34">
        <f>IFERROR(IF(Prêt_Non_Payé*Valeurs_Entrées,Numéro_Paiement,""), "")</f>
        <v>87</v>
      </c>
      <c r="C99" s="35">
        <f>IFERROR(IF(Prêt_Non_Payé*Valeurs_Entrées,Date_Paiement,""), "")</f>
        <v>47209</v>
      </c>
      <c r="D99" s="36">
        <f>IFERROR(IF(Prêt_Non_Payé*Valeurs_Entrées,Solde_Départ,""), "")</f>
        <v>34231.852297550751</v>
      </c>
      <c r="E99" s="36">
        <f>IFERROR(IF(Prêt_Non_Payé*Valeurs_Entrées,Paiement_Mensuel,""), "")</f>
        <v>402.90410647920658</v>
      </c>
      <c r="F99" s="36" t="str">
        <f>IFERROR(IF(Prêt_Non_Payé*Valeurs_Entrées,Capital,""), "")</f>
        <v/>
      </c>
      <c r="G99" s="36">
        <f>IFERROR(IF(Prêt_Non_Payé*Valeurs_Entrées,Intérêts,""), "")</f>
        <v>74.169013311360473</v>
      </c>
      <c r="H99" s="36">
        <f>IFERROR(IF(Prêt_Non_Payé*Valeurs_Entrées,Solde_Final,""), "")</f>
        <v>33903.117204382877</v>
      </c>
    </row>
    <row r="100" spans="2:10" x14ac:dyDescent="0.25">
      <c r="B100" s="34">
        <f>IFERROR(IF(Prêt_Non_Payé*Valeurs_Entrées,Numéro_Paiement,""), "")</f>
        <v>88</v>
      </c>
      <c r="C100" s="35">
        <f>IFERROR(IF(Prêt_Non_Payé*Valeurs_Entrées,Date_Paiement,""), "")</f>
        <v>47239</v>
      </c>
      <c r="D100" s="36">
        <f>IFERROR(IF(Prêt_Non_Payé*Valeurs_Entrées,Solde_Départ,""), "")</f>
        <v>33903.117204382877</v>
      </c>
      <c r="E100" s="36">
        <f>IFERROR(IF(Prêt_Non_Payé*Valeurs_Entrées,Paiement_Mensuel,""), "")</f>
        <v>402.90410647920658</v>
      </c>
      <c r="F100" s="36" t="str">
        <f>IFERROR(IF(Prêt_Non_Payé*Valeurs_Entrées,Capital,""), "")</f>
        <v/>
      </c>
      <c r="G100" s="36">
        <f>IFERROR(IF(Prêt_Non_Payé*Valeurs_Entrées,Intérêts,""), "")</f>
        <v>73.456753942830161</v>
      </c>
      <c r="H100" s="36">
        <f>IFERROR(IF(Prêt_Non_Payé*Valeurs_Entrées,Solde_Final,""), "")</f>
        <v>33573.669851846498</v>
      </c>
    </row>
    <row r="101" spans="2:10" x14ac:dyDescent="0.25">
      <c r="B101" s="34">
        <f>IFERROR(IF(Prêt_Non_Payé*Valeurs_Entrées,Numéro_Paiement,""), "")</f>
        <v>89</v>
      </c>
      <c r="C101" s="35">
        <f>IFERROR(IF(Prêt_Non_Payé*Valeurs_Entrées,Date_Paiement,""), "")</f>
        <v>47270</v>
      </c>
      <c r="D101" s="36">
        <f>IFERROR(IF(Prêt_Non_Payé*Valeurs_Entrées,Solde_Départ,""), "")</f>
        <v>33573.669851846498</v>
      </c>
      <c r="E101" s="36">
        <f>IFERROR(IF(Prêt_Non_Payé*Valeurs_Entrées,Paiement_Mensuel,""), "")</f>
        <v>402.90410647920658</v>
      </c>
      <c r="F101" s="36" t="str">
        <f>IFERROR(IF(Prêt_Non_Payé*Valeurs_Entrées,Capital,""), "")</f>
        <v/>
      </c>
      <c r="G101" s="36">
        <f>IFERROR(IF(Prêt_Non_Payé*Valeurs_Entrées,Intérêts,""), "")</f>
        <v>72.742951345668004</v>
      </c>
      <c r="H101" s="36">
        <f>IFERROR(IF(Prêt_Non_Payé*Valeurs_Entrées,Solde_Final,""), "")</f>
        <v>33243.508696712968</v>
      </c>
      <c r="J101" s="33">
        <f>IF(SUM(G85:G95)="",0,SUM(G85:G95))</f>
        <v>885.53189442589996</v>
      </c>
    </row>
    <row r="102" spans="2:10" x14ac:dyDescent="0.25">
      <c r="B102" s="34">
        <f>IFERROR(IF(Prêt_Non_Payé*Valeurs_Entrées,Numéro_Paiement,""), "")</f>
        <v>90</v>
      </c>
      <c r="C102" s="35">
        <f>IFERROR(IF(Prêt_Non_Payé*Valeurs_Entrées,Date_Paiement,""), "")</f>
        <v>47300</v>
      </c>
      <c r="D102" s="36">
        <f>IFERROR(IF(Prêt_Non_Payé*Valeurs_Entrées,Solde_Départ,""), "")</f>
        <v>33243.508696712968</v>
      </c>
      <c r="E102" s="36">
        <f>IFERROR(IF(Prêt_Non_Payé*Valeurs_Entrées,Paiement_Mensuel,""), "")</f>
        <v>402.90410647920658</v>
      </c>
      <c r="F102" s="36" t="str">
        <f>IFERROR(IF(Prêt_Non_Payé*Valeurs_Entrées,Capital,""), "")</f>
        <v/>
      </c>
      <c r="G102" s="36">
        <f>IFERROR(IF(Prêt_Non_Payé*Valeurs_Entrées,Intérêts,""), "")</f>
        <v>72.027602176212014</v>
      </c>
      <c r="H102" s="36">
        <f>IFERROR(IF(Prêt_Non_Payé*Valeurs_Entrées,Solde_Final,""), "")</f>
        <v>32912.632192409976</v>
      </c>
    </row>
    <row r="103" spans="2:10" x14ac:dyDescent="0.25">
      <c r="B103" s="34">
        <f>IFERROR(IF(Prêt_Non_Payé*Valeurs_Entrées,Numéro_Paiement,""), "")</f>
        <v>91</v>
      </c>
      <c r="C103" s="35">
        <f>IFERROR(IF(Prêt_Non_Payé*Valeurs_Entrées,Date_Paiement,""), "")</f>
        <v>47331</v>
      </c>
      <c r="D103" s="36">
        <f>IFERROR(IF(Prêt_Non_Payé*Valeurs_Entrées,Solde_Départ,""), "")</f>
        <v>32912.632192409976</v>
      </c>
      <c r="E103" s="36">
        <f>IFERROR(IF(Prêt_Non_Payé*Valeurs_Entrées,Paiement_Mensuel,""), "")</f>
        <v>402.90410647920658</v>
      </c>
      <c r="F103" s="36" t="str">
        <f>IFERROR(IF(Prêt_Non_Payé*Valeurs_Entrées,Capital,""), "")</f>
        <v/>
      </c>
      <c r="G103" s="36">
        <f>IFERROR(IF(Prêt_Non_Payé*Valeurs_Entrées,Intérêts,""), "")</f>
        <v>71.310703083555524</v>
      </c>
      <c r="H103" s="36">
        <f>IFERROR(IF(Prêt_Non_Payé*Valeurs_Entrées,Solde_Final,""), "")</f>
        <v>32581.038789014288</v>
      </c>
    </row>
    <row r="104" spans="2:10" x14ac:dyDescent="0.25">
      <c r="B104" s="34">
        <f>IFERROR(IF(Prêt_Non_Payé*Valeurs_Entrées,Numéro_Paiement,""), "")</f>
        <v>92</v>
      </c>
      <c r="C104" s="35">
        <f>IFERROR(IF(Prêt_Non_Payé*Valeurs_Entrées,Date_Paiement,""), "")</f>
        <v>47362</v>
      </c>
      <c r="D104" s="36">
        <f>IFERROR(IF(Prêt_Non_Payé*Valeurs_Entrées,Solde_Départ,""), "")</f>
        <v>32581.038789014288</v>
      </c>
      <c r="E104" s="36">
        <f>IFERROR(IF(Prêt_Non_Payé*Valeurs_Entrées,Paiement_Mensuel,""), "")</f>
        <v>402.90410647920658</v>
      </c>
      <c r="F104" s="36" t="str">
        <f>IFERROR(IF(Prêt_Non_Payé*Valeurs_Entrées,Capital,""), "")</f>
        <v/>
      </c>
      <c r="G104" s="36">
        <f>IFERROR(IF(Prêt_Non_Payé*Valeurs_Entrées,Intérêts,""), "")</f>
        <v>70.592250709531612</v>
      </c>
      <c r="H104" s="36">
        <f>IFERROR(IF(Prêt_Non_Payé*Valeurs_Entrées,Solde_Final,""), "")</f>
        <v>32248.726933244645</v>
      </c>
    </row>
    <row r="105" spans="2:10" x14ac:dyDescent="0.25">
      <c r="B105" s="34">
        <f>IFERROR(IF(Prêt_Non_Payé*Valeurs_Entrées,Numéro_Paiement,""), "")</f>
        <v>93</v>
      </c>
      <c r="C105" s="35">
        <f>IFERROR(IF(Prêt_Non_Payé*Valeurs_Entrées,Date_Paiement,""), "")</f>
        <v>47392</v>
      </c>
      <c r="D105" s="36">
        <f>IFERROR(IF(Prêt_Non_Payé*Valeurs_Entrées,Solde_Départ,""), "")</f>
        <v>32248.726933244645</v>
      </c>
      <c r="E105" s="36">
        <f>IFERROR(IF(Prêt_Non_Payé*Valeurs_Entrées,Paiement_Mensuel,""), "")</f>
        <v>402.90410647920658</v>
      </c>
      <c r="F105" s="36" t="str">
        <f>IFERROR(IF(Prêt_Non_Payé*Valeurs_Entrées,Capital,""), "")</f>
        <v/>
      </c>
      <c r="G105" s="36">
        <f>IFERROR(IF(Prêt_Non_Payé*Valeurs_Entrées,Intérêts,""), "")</f>
        <v>69.872241688697315</v>
      </c>
      <c r="H105" s="36">
        <f>IFERROR(IF(Prêt_Non_Payé*Valeurs_Entrées,Solde_Final,""), "")</f>
        <v>31915.695068454123</v>
      </c>
    </row>
    <row r="106" spans="2:10" x14ac:dyDescent="0.25">
      <c r="B106" s="34">
        <f>IFERROR(IF(Prêt_Non_Payé*Valeurs_Entrées,Numéro_Paiement,""), "")</f>
        <v>94</v>
      </c>
      <c r="C106" s="35">
        <f>IFERROR(IF(Prêt_Non_Payé*Valeurs_Entrées,Date_Paiement,""), "")</f>
        <v>47423</v>
      </c>
      <c r="D106" s="36">
        <f>IFERROR(IF(Prêt_Non_Payé*Valeurs_Entrées,Solde_Départ,""), "")</f>
        <v>31915.695068454123</v>
      </c>
      <c r="E106" s="36">
        <f>IFERROR(IF(Prêt_Non_Payé*Valeurs_Entrées,Paiement_Mensuel,""), "")</f>
        <v>402.90410647920658</v>
      </c>
      <c r="F106" s="36" t="str">
        <f>IFERROR(IF(Prêt_Non_Payé*Valeurs_Entrées,Capital,""), "")</f>
        <v/>
      </c>
      <c r="G106" s="36">
        <f>IFERROR(IF(Prêt_Non_Payé*Valeurs_Entrées,Intérêts,""), "")</f>
        <v>69.150672648317894</v>
      </c>
      <c r="H106" s="36">
        <f>IFERROR(IF(Prêt_Non_Payé*Valeurs_Entrées,Solde_Final,""), "")</f>
        <v>31581.941634623254</v>
      </c>
    </row>
    <row r="107" spans="2:10" x14ac:dyDescent="0.25">
      <c r="B107" s="34">
        <f>IFERROR(IF(Prêt_Non_Payé*Valeurs_Entrées,Numéro_Paiement,""), "")</f>
        <v>95</v>
      </c>
      <c r="C107" s="35">
        <f>IFERROR(IF(Prêt_Non_Payé*Valeurs_Entrées,Date_Paiement,""), "")</f>
        <v>47453</v>
      </c>
      <c r="D107" s="36">
        <f>IFERROR(IF(Prêt_Non_Payé*Valeurs_Entrées,Solde_Départ,""), "")</f>
        <v>31581.941634623254</v>
      </c>
      <c r="E107" s="36">
        <f>IFERROR(IF(Prêt_Non_Payé*Valeurs_Entrées,Paiement_Mensuel,""), "")</f>
        <v>402.90410647920658</v>
      </c>
      <c r="F107" s="36" t="str">
        <f>IFERROR(IF(Prêt_Non_Payé*Valeurs_Entrées,Capital,""), "")</f>
        <v/>
      </c>
      <c r="G107" s="36">
        <f>IFERROR(IF(Prêt_Non_Payé*Valeurs_Entrées,Intérêts,""), "")</f>
        <v>68.427540208350962</v>
      </c>
      <c r="H107" s="36">
        <f>IFERROR(IF(Prêt_Non_Payé*Valeurs_Entrées,Solde_Final,""), "")</f>
        <v>31247.46506835238</v>
      </c>
    </row>
    <row r="108" spans="2:10" x14ac:dyDescent="0.25">
      <c r="B108" s="34">
        <f>IFERROR(IF(Prêt_Non_Payé*Valeurs_Entrées,Numéro_Paiement,""), "")</f>
        <v>96</v>
      </c>
      <c r="C108" s="35">
        <f>IFERROR(IF(Prêt_Non_Payé*Valeurs_Entrées,Date_Paiement,""), "")</f>
        <v>47484</v>
      </c>
      <c r="D108" s="36">
        <f>IFERROR(IF(Prêt_Non_Payé*Valeurs_Entrées,Solde_Départ,""), "")</f>
        <v>31247.46506835238</v>
      </c>
      <c r="E108" s="36">
        <f>IFERROR(IF(Prêt_Non_Payé*Valeurs_Entrées,Paiement_Mensuel,""), "")</f>
        <v>402.90410647920658</v>
      </c>
      <c r="F108" s="36" t="str">
        <f>IFERROR(IF(Prêt_Non_Payé*Valeurs_Entrées,Capital,""), "")</f>
        <v/>
      </c>
      <c r="G108" s="36">
        <f>IFERROR(IF(Prêt_Non_Payé*Valeurs_Entrées,Intérêts,""), "")</f>
        <v>67.702840981430754</v>
      </c>
      <c r="H108" s="36">
        <f>IFERROR(IF(Prêt_Non_Payé*Valeurs_Entrées,Solde_Final,""), "")</f>
        <v>30912.263802854606</v>
      </c>
    </row>
    <row r="109" spans="2:10" x14ac:dyDescent="0.25">
      <c r="B109" s="34">
        <f>IFERROR(IF(Prêt_Non_Payé*Valeurs_Entrées,Numéro_Paiement,""), "")</f>
        <v>97</v>
      </c>
      <c r="C109" s="35">
        <f>IFERROR(IF(Prêt_Non_Payé*Valeurs_Entrées,Date_Paiement,""), "")</f>
        <v>47515</v>
      </c>
      <c r="D109" s="36">
        <f>IFERROR(IF(Prêt_Non_Payé*Valeurs_Entrées,Solde_Départ,""), "")</f>
        <v>30912.263802854606</v>
      </c>
      <c r="E109" s="36">
        <f>IFERROR(IF(Prêt_Non_Payé*Valeurs_Entrées,Paiement_Mensuel,""), "")</f>
        <v>402.90410647920658</v>
      </c>
      <c r="F109" s="36" t="str">
        <f>IFERROR(IF(Prêt_Non_Payé*Valeurs_Entrées,Capital,""), "")</f>
        <v/>
      </c>
      <c r="G109" s="36">
        <f>IFERROR(IF(Prêt_Non_Payé*Valeurs_Entrées,Intérêts,""), "")</f>
        <v>66.976571572852251</v>
      </c>
      <c r="H109" s="36">
        <f>IFERROR(IF(Prêt_Non_Payé*Valeurs_Entrées,Solde_Final,""), "")</f>
        <v>30576.336267948252</v>
      </c>
    </row>
    <row r="110" spans="2:10" x14ac:dyDescent="0.25">
      <c r="B110" s="34">
        <f>IFERROR(IF(Prêt_Non_Payé*Valeurs_Entrées,Numéro_Paiement,""), "")</f>
        <v>98</v>
      </c>
      <c r="C110" s="35">
        <f>IFERROR(IF(Prêt_Non_Payé*Valeurs_Entrées,Date_Paiement,""), "")</f>
        <v>47543</v>
      </c>
      <c r="D110" s="36">
        <f>IFERROR(IF(Prêt_Non_Payé*Valeurs_Entrées,Solde_Départ,""), "")</f>
        <v>30576.336267948252</v>
      </c>
      <c r="E110" s="36">
        <f>IFERROR(IF(Prêt_Non_Payé*Valeurs_Entrées,Paiement_Mensuel,""), "")</f>
        <v>402.90410647920658</v>
      </c>
      <c r="F110" s="36" t="str">
        <f>IFERROR(IF(Prêt_Non_Payé*Valeurs_Entrées,Capital,""), "")</f>
        <v/>
      </c>
      <c r="G110" s="36">
        <f>IFERROR(IF(Prêt_Non_Payé*Valeurs_Entrées,Intérêts,""), "")</f>
        <v>66.248728580555138</v>
      </c>
      <c r="H110" s="36">
        <f>IFERROR(IF(Prêt_Non_Payé*Valeurs_Entrées,Solde_Final,""), "")</f>
        <v>30239.680890049582</v>
      </c>
    </row>
    <row r="111" spans="2:10" x14ac:dyDescent="0.25">
      <c r="B111" s="34">
        <f>IFERROR(IF(Prêt_Non_Payé*Valeurs_Entrées,Numéro_Paiement,""), "")</f>
        <v>99</v>
      </c>
      <c r="C111" s="35">
        <f>IFERROR(IF(Prêt_Non_Payé*Valeurs_Entrées,Date_Paiement,""), "")</f>
        <v>47574</v>
      </c>
      <c r="D111" s="36">
        <f>IFERROR(IF(Prêt_Non_Payé*Valeurs_Entrées,Solde_Départ,""), "")</f>
        <v>30239.680890049582</v>
      </c>
      <c r="E111" s="36">
        <f>IFERROR(IF(Prêt_Non_Payé*Valeurs_Entrées,Paiement_Mensuel,""), "")</f>
        <v>402.90410647920658</v>
      </c>
      <c r="F111" s="36" t="str">
        <f>IFERROR(IF(Prêt_Non_Payé*Valeurs_Entrées,Capital,""), "")</f>
        <v/>
      </c>
      <c r="G111" s="36">
        <f>IFERROR(IF(Prêt_Non_Payé*Valeurs_Entrées,Intérêts,""), "")</f>
        <v>65.519308595108072</v>
      </c>
      <c r="H111" s="36">
        <f>IFERROR(IF(Prêt_Non_Payé*Valeurs_Entrées,Solde_Final,""), "")</f>
        <v>29902.296092165474</v>
      </c>
    </row>
    <row r="112" spans="2:10" x14ac:dyDescent="0.25">
      <c r="B112" s="34">
        <f>IFERROR(IF(Prêt_Non_Payé*Valeurs_Entrées,Numéro_Paiement,""), "")</f>
        <v>100</v>
      </c>
      <c r="C112" s="35">
        <f>IFERROR(IF(Prêt_Non_Payé*Valeurs_Entrées,Date_Paiement,""), "")</f>
        <v>47604</v>
      </c>
      <c r="D112" s="36">
        <f>IFERROR(IF(Prêt_Non_Payé*Valeurs_Entrées,Solde_Départ,""), "")</f>
        <v>29902.296092165474</v>
      </c>
      <c r="E112" s="36">
        <f>IFERROR(IF(Prêt_Non_Payé*Valeurs_Entrées,Paiement_Mensuel,""), "")</f>
        <v>402.90410647920658</v>
      </c>
      <c r="F112" s="36" t="str">
        <f>IFERROR(IF(Prêt_Non_Payé*Valeurs_Entrées,Capital,""), "")</f>
        <v/>
      </c>
      <c r="G112" s="36">
        <f>IFERROR(IF(Prêt_Non_Payé*Valeurs_Entrées,Intérêts,""), "")</f>
        <v>64.788308199692523</v>
      </c>
      <c r="H112" s="36">
        <f>IFERROR(IF(Prêt_Non_Payé*Valeurs_Entrées,Solde_Final,""), "")</f>
        <v>29564.180293885976</v>
      </c>
    </row>
    <row r="113" spans="2:10" x14ac:dyDescent="0.25">
      <c r="B113" s="34">
        <f>IFERROR(IF(Prêt_Non_Payé*Valeurs_Entrées,Numéro_Paiement,""), "")</f>
        <v>101</v>
      </c>
      <c r="C113" s="35">
        <f>IFERROR(IF(Prêt_Non_Payé*Valeurs_Entrées,Date_Paiement,""), "")</f>
        <v>47635</v>
      </c>
      <c r="D113" s="36">
        <f>IFERROR(IF(Prêt_Non_Payé*Valeurs_Entrées,Solde_Départ,""), "")</f>
        <v>29564.180293885976</v>
      </c>
      <c r="E113" s="36">
        <f>IFERROR(IF(Prêt_Non_Payé*Valeurs_Entrées,Paiement_Mensuel,""), "")</f>
        <v>402.90410647920658</v>
      </c>
      <c r="F113" s="36" t="str">
        <f>IFERROR(IF(Prêt_Non_Payé*Valeurs_Entrées,Capital,""), "")</f>
        <v/>
      </c>
      <c r="G113" s="36">
        <f>IFERROR(IF(Prêt_Non_Payé*Valeurs_Entrées,Intérêts,""), "")</f>
        <v>64.055723970086902</v>
      </c>
      <c r="H113" s="36">
        <f>IFERROR(IF(Prêt_Non_Payé*Valeurs_Entrées,Solde_Final,""), "")</f>
        <v>29225.331911376823</v>
      </c>
      <c r="J113" s="33">
        <f>IF(SUM(G97:G107)="",0,SUM(G97:G107))</f>
        <v>792.21837760326082</v>
      </c>
    </row>
    <row r="114" spans="2:10" x14ac:dyDescent="0.25">
      <c r="B114" s="34">
        <f>IFERROR(IF(Prêt_Non_Payé*Valeurs_Entrées,Numéro_Paiement,""), "")</f>
        <v>102</v>
      </c>
      <c r="C114" s="35">
        <f>IFERROR(IF(Prêt_Non_Payé*Valeurs_Entrées,Date_Paiement,""), "")</f>
        <v>47665</v>
      </c>
      <c r="D114" s="36">
        <f>IFERROR(IF(Prêt_Non_Payé*Valeurs_Entrées,Solde_Départ,""), "")</f>
        <v>29225.331911376823</v>
      </c>
      <c r="E114" s="36">
        <f>IFERROR(IF(Prêt_Non_Payé*Valeurs_Entrées,Paiement_Mensuel,""), "")</f>
        <v>402.90410647920658</v>
      </c>
      <c r="F114" s="36" t="str">
        <f>IFERROR(IF(Prêt_Non_Payé*Valeurs_Entrées,Capital,""), "")</f>
        <v/>
      </c>
      <c r="G114" s="36">
        <f>IFERROR(IF(Prêt_Non_Payé*Valeurs_Entrées,Intérêts,""), "")</f>
        <v>63.321552474650481</v>
      </c>
      <c r="H114" s="36">
        <f>IFERROR(IF(Prêt_Non_Payé*Valeurs_Entrées,Solde_Final,""), "")</f>
        <v>28885.74935737229</v>
      </c>
    </row>
    <row r="115" spans="2:10" x14ac:dyDescent="0.25">
      <c r="B115" s="34">
        <f>IFERROR(IF(Prêt_Non_Payé*Valeurs_Entrées,Numéro_Paiement,""), "")</f>
        <v>103</v>
      </c>
      <c r="C115" s="35">
        <f>IFERROR(IF(Prêt_Non_Payé*Valeurs_Entrées,Date_Paiement,""), "")</f>
        <v>47696</v>
      </c>
      <c r="D115" s="36">
        <f>IFERROR(IF(Prêt_Non_Payé*Valeurs_Entrées,Solde_Départ,""), "")</f>
        <v>28885.74935737229</v>
      </c>
      <c r="E115" s="36">
        <f>IFERROR(IF(Prêt_Non_Payé*Valeurs_Entrées,Paiement_Mensuel,""), "")</f>
        <v>402.90410647920658</v>
      </c>
      <c r="F115" s="36" t="str">
        <f>IFERROR(IF(Prêt_Non_Payé*Valeurs_Entrées,Capital,""), "")</f>
        <v/>
      </c>
      <c r="G115" s="36">
        <f>IFERROR(IF(Prêt_Non_Payé*Valeurs_Entrées,Intérêts,""), "")</f>
        <v>62.585790274307271</v>
      </c>
      <c r="H115" s="36">
        <f>IFERROR(IF(Prêt_Non_Payé*Valeurs_Entrées,Solde_Final,""), "")</f>
        <v>28545.43104116738</v>
      </c>
    </row>
    <row r="116" spans="2:10" x14ac:dyDescent="0.25">
      <c r="B116" s="34">
        <f>IFERROR(IF(Prêt_Non_Payé*Valeurs_Entrées,Numéro_Paiement,""), "")</f>
        <v>104</v>
      </c>
      <c r="C116" s="35">
        <f>IFERROR(IF(Prêt_Non_Payé*Valeurs_Entrées,Date_Paiement,""), "")</f>
        <v>47727</v>
      </c>
      <c r="D116" s="36">
        <f>IFERROR(IF(Prêt_Non_Payé*Valeurs_Entrées,Solde_Départ,""), "")</f>
        <v>28545.43104116738</v>
      </c>
      <c r="E116" s="36">
        <f>IFERROR(IF(Prêt_Non_Payé*Valeurs_Entrées,Paiement_Mensuel,""), "")</f>
        <v>402.90410647920658</v>
      </c>
      <c r="F116" s="36" t="str">
        <f>IFERROR(IF(Prêt_Non_Payé*Valeurs_Entrées,Capital,""), "")</f>
        <v/>
      </c>
      <c r="G116" s="36">
        <f>IFERROR(IF(Prêt_Non_Payé*Valeurs_Entrées,Intérêts,""), "")</f>
        <v>61.848433922529992</v>
      </c>
      <c r="H116" s="36">
        <f>IFERROR(IF(Prêt_Non_Payé*Valeurs_Entrées,Solde_Final,""), "")</f>
        <v>28204.375368610708</v>
      </c>
    </row>
    <row r="117" spans="2:10" x14ac:dyDescent="0.25">
      <c r="B117" s="34">
        <f>IFERROR(IF(Prêt_Non_Payé*Valeurs_Entrées,Numéro_Paiement,""), "")</f>
        <v>105</v>
      </c>
      <c r="C117" s="35">
        <f>IFERROR(IF(Prêt_Non_Payé*Valeurs_Entrées,Date_Paiement,""), "")</f>
        <v>47757</v>
      </c>
      <c r="D117" s="36">
        <f>IFERROR(IF(Prêt_Non_Payé*Valeurs_Entrées,Solde_Départ,""), "")</f>
        <v>28204.375368610708</v>
      </c>
      <c r="E117" s="36">
        <f>IFERROR(IF(Prêt_Non_Payé*Valeurs_Entrées,Paiement_Mensuel,""), "")</f>
        <v>402.90410647920658</v>
      </c>
      <c r="F117" s="36" t="str">
        <f>IFERROR(IF(Prêt_Non_Payé*Valeurs_Entrées,Capital,""), "")</f>
        <v/>
      </c>
      <c r="G117" s="36">
        <f>IFERROR(IF(Prêt_Non_Payé*Valeurs_Entrées,Intérêts,""), "")</f>
        <v>61.109479965323864</v>
      </c>
      <c r="H117" s="36">
        <f>IFERROR(IF(Prêt_Non_Payé*Valeurs_Entrées,Solde_Final,""), "")</f>
        <v>27862.58074209679</v>
      </c>
    </row>
    <row r="118" spans="2:10" x14ac:dyDescent="0.25">
      <c r="B118" s="34">
        <f>IFERROR(IF(Prêt_Non_Payé*Valeurs_Entrées,Numéro_Paiement,""), "")</f>
        <v>106</v>
      </c>
      <c r="C118" s="35">
        <f>IFERROR(IF(Prêt_Non_Payé*Valeurs_Entrées,Date_Paiement,""), "")</f>
        <v>47788</v>
      </c>
      <c r="D118" s="36">
        <f>IFERROR(IF(Prêt_Non_Payé*Valeurs_Entrées,Solde_Départ,""), "")</f>
        <v>27862.58074209679</v>
      </c>
      <c r="E118" s="36">
        <f>IFERROR(IF(Prêt_Non_Payé*Valeurs_Entrées,Paiement_Mensuel,""), "")</f>
        <v>402.90410647920658</v>
      </c>
      <c r="F118" s="36" t="str">
        <f>IFERROR(IF(Prêt_Non_Payé*Valeurs_Entrées,Capital,""), "")</f>
        <v/>
      </c>
      <c r="G118" s="36">
        <f>IFERROR(IF(Prêt_Non_Payé*Valeurs_Entrées,Intérêts,""), "")</f>
        <v>60.368924941210452</v>
      </c>
      <c r="H118" s="36">
        <f>IFERROR(IF(Prêt_Non_Payé*Valeurs_Entrées,Solde_Final,""), "")</f>
        <v>27520.045560558785</v>
      </c>
    </row>
    <row r="119" spans="2:10" x14ac:dyDescent="0.25">
      <c r="B119" s="34">
        <f>IFERROR(IF(Prêt_Non_Payé*Valeurs_Entrées,Numéro_Paiement,""), "")</f>
        <v>107</v>
      </c>
      <c r="C119" s="35">
        <f>IFERROR(IF(Prêt_Non_Payé*Valeurs_Entrées,Date_Paiement,""), "")</f>
        <v>47818</v>
      </c>
      <c r="D119" s="36">
        <f>IFERROR(IF(Prêt_Non_Payé*Valeurs_Entrées,Solde_Départ,""), "")</f>
        <v>27520.045560558785</v>
      </c>
      <c r="E119" s="36">
        <f>IFERROR(IF(Prêt_Non_Payé*Valeurs_Entrées,Paiement_Mensuel,""), "")</f>
        <v>402.90410647920658</v>
      </c>
      <c r="F119" s="36" t="str">
        <f>IFERROR(IF(Prêt_Non_Payé*Valeurs_Entrées,Capital,""), "")</f>
        <v/>
      </c>
      <c r="G119" s="36">
        <f>IFERROR(IF(Prêt_Non_Payé*Valeurs_Entrées,Intérêts,""), "")</f>
        <v>59.62676538121147</v>
      </c>
      <c r="H119" s="36">
        <f>IFERROR(IF(Prêt_Non_Payé*Valeurs_Entrées,Solde_Final,""), "")</f>
        <v>27176.768219460806</v>
      </c>
    </row>
    <row r="120" spans="2:10" x14ac:dyDescent="0.25">
      <c r="B120" s="34">
        <f>IFERROR(IF(Prêt_Non_Payé*Valeurs_Entrées,Numéro_Paiement,""), "")</f>
        <v>108</v>
      </c>
      <c r="C120" s="35">
        <f>IFERROR(IF(Prêt_Non_Payé*Valeurs_Entrées,Date_Paiement,""), "")</f>
        <v>47849</v>
      </c>
      <c r="D120" s="36">
        <f>IFERROR(IF(Prêt_Non_Payé*Valeurs_Entrées,Solde_Départ,""), "")</f>
        <v>27176.768219460806</v>
      </c>
      <c r="E120" s="36">
        <f>IFERROR(IF(Prêt_Non_Payé*Valeurs_Entrées,Paiement_Mensuel,""), "")</f>
        <v>402.90410647920658</v>
      </c>
      <c r="F120" s="36" t="str">
        <f>IFERROR(IF(Prêt_Non_Payé*Valeurs_Entrées,Capital,""), "")</f>
        <v/>
      </c>
      <c r="G120" s="36">
        <f>IFERROR(IF(Prêt_Non_Payé*Valeurs_Entrées,Intérêts,""), "")</f>
        <v>58.882997808832471</v>
      </c>
      <c r="H120" s="36">
        <f>IFERROR(IF(Prêt_Non_Payé*Valeurs_Entrées,Solde_Final,""), "")</f>
        <v>26832.747110790449</v>
      </c>
    </row>
    <row r="121" spans="2:10" x14ac:dyDescent="0.25">
      <c r="B121" s="34">
        <f>IFERROR(IF(Prêt_Non_Payé*Valeurs_Entrées,Numéro_Paiement,""), "")</f>
        <v>109</v>
      </c>
      <c r="C121" s="35">
        <f>IFERROR(IF(Prêt_Non_Payé*Valeurs_Entrées,Date_Paiement,""), "")</f>
        <v>47880</v>
      </c>
      <c r="D121" s="36">
        <f>IFERROR(IF(Prêt_Non_Payé*Valeurs_Entrées,Solde_Départ,""), "")</f>
        <v>26832.747110790449</v>
      </c>
      <c r="E121" s="36">
        <f>IFERROR(IF(Prêt_Non_Payé*Valeurs_Entrées,Paiement_Mensuel,""), "")</f>
        <v>402.90410647920658</v>
      </c>
      <c r="F121" s="36" t="str">
        <f>IFERROR(IF(Prêt_Non_Payé*Valeurs_Entrées,Capital,""), "")</f>
        <v/>
      </c>
      <c r="G121" s="36">
        <f>IFERROR(IF(Prêt_Non_Payé*Valeurs_Entrées,Intérêts,""), "")</f>
        <v>58.137618740046655</v>
      </c>
      <c r="H121" s="36">
        <f>IFERROR(IF(Prêt_Non_Payé*Valeurs_Entrées,Solde_Final,""), "")</f>
        <v>26487.980623051284</v>
      </c>
    </row>
    <row r="122" spans="2:10" x14ac:dyDescent="0.25">
      <c r="B122" s="34">
        <f>IFERROR(IF(Prêt_Non_Payé*Valeurs_Entrées,Numéro_Paiement,""), "")</f>
        <v>110</v>
      </c>
      <c r="C122" s="35">
        <f>IFERROR(IF(Prêt_Non_Payé*Valeurs_Entrées,Date_Paiement,""), "")</f>
        <v>47908</v>
      </c>
      <c r="D122" s="36">
        <f>IFERROR(IF(Prêt_Non_Payé*Valeurs_Entrées,Solde_Départ,""), "")</f>
        <v>26487.980623051284</v>
      </c>
      <c r="E122" s="36">
        <f>IFERROR(IF(Prêt_Non_Payé*Valeurs_Entrées,Paiement_Mensuel,""), "")</f>
        <v>402.90410647920658</v>
      </c>
      <c r="F122" s="36" t="str">
        <f>IFERROR(IF(Prêt_Non_Payé*Valeurs_Entrées,Capital,""), "")</f>
        <v/>
      </c>
      <c r="G122" s="36">
        <f>IFERROR(IF(Prêt_Non_Payé*Valeurs_Entrées,Intérêts,""), "")</f>
        <v>57.390624683278482</v>
      </c>
      <c r="H122" s="36">
        <f>IFERROR(IF(Prêt_Non_Payé*Valeurs_Entrées,Solde_Final,""), "")</f>
        <v>26142.467141255373</v>
      </c>
    </row>
    <row r="123" spans="2:10" x14ac:dyDescent="0.25">
      <c r="B123" s="34">
        <f>IFERROR(IF(Prêt_Non_Payé*Valeurs_Entrées,Numéro_Paiement,""), "")</f>
        <v>111</v>
      </c>
      <c r="C123" s="35">
        <f>IFERROR(IF(Prêt_Non_Payé*Valeurs_Entrées,Date_Paiement,""), "")</f>
        <v>47939</v>
      </c>
      <c r="D123" s="36">
        <f>IFERROR(IF(Prêt_Non_Payé*Valeurs_Entrées,Solde_Départ,""), "")</f>
        <v>26142.467141255373</v>
      </c>
      <c r="E123" s="36">
        <f>IFERROR(IF(Prêt_Non_Payé*Valeurs_Entrées,Paiement_Mensuel,""), "")</f>
        <v>402.90410647920658</v>
      </c>
      <c r="F123" s="36" t="str">
        <f>IFERROR(IF(Prêt_Non_Payé*Valeurs_Entrées,Capital,""), "")</f>
        <v/>
      </c>
      <c r="G123" s="36">
        <f>IFERROR(IF(Prêt_Non_Payé*Valeurs_Entrées,Intérêts,""), "")</f>
        <v>56.642012139387305</v>
      </c>
      <c r="H123" s="36">
        <f>IFERROR(IF(Prêt_Non_Payé*Valeurs_Entrées,Solde_Final,""), "")</f>
        <v>25796.2050469155</v>
      </c>
    </row>
    <row r="124" spans="2:10" x14ac:dyDescent="0.25">
      <c r="B124" s="34">
        <f>IFERROR(IF(Prêt_Non_Payé*Valeurs_Entrées,Numéro_Paiement,""), "")</f>
        <v>112</v>
      </c>
      <c r="C124" s="35">
        <f>IFERROR(IF(Prêt_Non_Payé*Valeurs_Entrées,Date_Paiement,""), "")</f>
        <v>47969</v>
      </c>
      <c r="D124" s="36">
        <f>IFERROR(IF(Prêt_Non_Payé*Valeurs_Entrées,Solde_Départ,""), "")</f>
        <v>25796.2050469155</v>
      </c>
      <c r="E124" s="36">
        <f>IFERROR(IF(Prêt_Non_Payé*Valeurs_Entrées,Paiement_Mensuel,""), "")</f>
        <v>402.90410647920658</v>
      </c>
      <c r="F124" s="36" t="str">
        <f>IFERROR(IF(Prêt_Non_Payé*Valeurs_Entrées,Capital,""), "")</f>
        <v/>
      </c>
      <c r="G124" s="36">
        <f>IFERROR(IF(Prêt_Non_Payé*Valeurs_Entrées,Intérêts,""), "")</f>
        <v>55.891777601651029</v>
      </c>
      <c r="H124" s="36">
        <f>IFERROR(IF(Prêt_Non_Payé*Valeurs_Entrées,Solde_Final,""), "")</f>
        <v>25449.192718037928</v>
      </c>
    </row>
    <row r="125" spans="2:10" x14ac:dyDescent="0.25">
      <c r="B125" s="34">
        <f>IFERROR(IF(Prêt_Non_Payé*Valeurs_Entrées,Numéro_Paiement,""), "")</f>
        <v>113</v>
      </c>
      <c r="C125" s="35">
        <f>IFERROR(IF(Prêt_Non_Payé*Valeurs_Entrées,Date_Paiement,""), "")</f>
        <v>48000</v>
      </c>
      <c r="D125" s="36">
        <f>IFERROR(IF(Prêt_Non_Payé*Valeurs_Entrées,Solde_Départ,""), "")</f>
        <v>25449.192718037928</v>
      </c>
      <c r="E125" s="36">
        <f>IFERROR(IF(Prêt_Non_Payé*Valeurs_Entrées,Paiement_Mensuel,""), "")</f>
        <v>402.90410647920658</v>
      </c>
      <c r="F125" s="36" t="str">
        <f>IFERROR(IF(Prêt_Non_Payé*Valeurs_Entrées,Capital,""), "")</f>
        <v/>
      </c>
      <c r="G125" s="36">
        <f>IFERROR(IF(Prêt_Non_Payé*Valeurs_Entrées,Intérêts,""), "")</f>
        <v>55.139917555749662</v>
      </c>
      <c r="H125" s="36">
        <f>IFERROR(IF(Prêt_Non_Payé*Valeurs_Entrées,Solde_Final,""), "")</f>
        <v>25101.428529114499</v>
      </c>
      <c r="J125" s="33">
        <f>IF(SUM(G109:G119)="",0,SUM(G109:G119))</f>
        <v>696.44958787752853</v>
      </c>
    </row>
    <row r="126" spans="2:10" x14ac:dyDescent="0.25">
      <c r="B126" s="34">
        <f>IFERROR(IF(Prêt_Non_Payé*Valeurs_Entrées,Numéro_Paiement,""), "")</f>
        <v>114</v>
      </c>
      <c r="C126" s="35">
        <f>IFERROR(IF(Prêt_Non_Payé*Valeurs_Entrées,Date_Paiement,""), "")</f>
        <v>48030</v>
      </c>
      <c r="D126" s="36">
        <f>IFERROR(IF(Prêt_Non_Payé*Valeurs_Entrées,Solde_Départ,""), "")</f>
        <v>25101.428529114499</v>
      </c>
      <c r="E126" s="36">
        <f>IFERROR(IF(Prêt_Non_Payé*Valeurs_Entrées,Paiement_Mensuel,""), "")</f>
        <v>402.90410647920658</v>
      </c>
      <c r="F126" s="36" t="str">
        <f>IFERROR(IF(Prêt_Non_Payé*Valeurs_Entrées,Capital,""), "")</f>
        <v/>
      </c>
      <c r="G126" s="36">
        <f>IFERROR(IF(Prêt_Non_Payé*Valeurs_Entrées,Intérêts,""), "")</f>
        <v>54.386428479748837</v>
      </c>
      <c r="H126" s="36">
        <f>IFERROR(IF(Prêt_Non_Payé*Valeurs_Entrées,Solde_Final,""), "")</f>
        <v>24752.910851115012</v>
      </c>
    </row>
    <row r="127" spans="2:10" x14ac:dyDescent="0.25">
      <c r="B127" s="34">
        <f>IFERROR(IF(Prêt_Non_Payé*Valeurs_Entrées,Numéro_Paiement,""), "")</f>
        <v>115</v>
      </c>
      <c r="C127" s="35">
        <f>IFERROR(IF(Prêt_Non_Payé*Valeurs_Entrées,Date_Paiement,""), "")</f>
        <v>48061</v>
      </c>
      <c r="D127" s="36">
        <f>IFERROR(IF(Prêt_Non_Payé*Valeurs_Entrées,Solde_Départ,""), "")</f>
        <v>24752.910851115012</v>
      </c>
      <c r="E127" s="36">
        <f>IFERROR(IF(Prêt_Non_Payé*Valeurs_Entrées,Paiement_Mensuel,""), "")</f>
        <v>402.90410647920658</v>
      </c>
      <c r="F127" s="36" t="str">
        <f>IFERROR(IF(Prêt_Non_Payé*Valeurs_Entrées,Capital,""), "")</f>
        <v/>
      </c>
      <c r="G127" s="36">
        <f>IFERROR(IF(Prêt_Non_Payé*Valeurs_Entrées,Intérêts,""), "")</f>
        <v>53.63130684408334</v>
      </c>
      <c r="H127" s="36">
        <f>IFERROR(IF(Prêt_Non_Payé*Valeurs_Entrées,Solde_Final,""), "")</f>
        <v>24403.638051479873</v>
      </c>
    </row>
    <row r="128" spans="2:10" x14ac:dyDescent="0.25">
      <c r="B128" s="34">
        <f>IFERROR(IF(Prêt_Non_Payé*Valeurs_Entrées,Numéro_Paiement,""), "")</f>
        <v>116</v>
      </c>
      <c r="C128" s="35">
        <f>IFERROR(IF(Prêt_Non_Payé*Valeurs_Entrées,Date_Paiement,""), "")</f>
        <v>48092</v>
      </c>
      <c r="D128" s="36">
        <f>IFERROR(IF(Prêt_Non_Payé*Valeurs_Entrées,Solde_Départ,""), "")</f>
        <v>24403.638051479873</v>
      </c>
      <c r="E128" s="36">
        <f>IFERROR(IF(Prêt_Non_Payé*Valeurs_Entrées,Paiement_Mensuel,""), "")</f>
        <v>402.90410647920658</v>
      </c>
      <c r="F128" s="36" t="str">
        <f>IFERROR(IF(Prêt_Non_Payé*Valeurs_Entrées,Capital,""), "")</f>
        <v/>
      </c>
      <c r="G128" s="36">
        <f>IFERROR(IF(Prêt_Non_Payé*Valeurs_Entrées,Intérêts,""), "")</f>
        <v>52.874549111540567</v>
      </c>
      <c r="H128" s="36">
        <f>IFERROR(IF(Prêt_Non_Payé*Valeurs_Entrées,Solde_Final,""), "")</f>
        <v>24053.608494112246</v>
      </c>
    </row>
    <row r="129" spans="2:10" x14ac:dyDescent="0.25">
      <c r="B129" s="34">
        <f>IFERROR(IF(Prêt_Non_Payé*Valeurs_Entrées,Numéro_Paiement,""), "")</f>
        <v>117</v>
      </c>
      <c r="C129" s="35">
        <f>IFERROR(IF(Prêt_Non_Payé*Valeurs_Entrées,Date_Paiement,""), "")</f>
        <v>48122</v>
      </c>
      <c r="D129" s="36">
        <f>IFERROR(IF(Prêt_Non_Payé*Valeurs_Entrées,Solde_Départ,""), "")</f>
        <v>24053.608494112246</v>
      </c>
      <c r="E129" s="36">
        <f>IFERROR(IF(Prêt_Non_Payé*Valeurs_Entrées,Paiement_Mensuel,""), "")</f>
        <v>402.90410647920658</v>
      </c>
      <c r="F129" s="36" t="str">
        <f>IFERROR(IF(Prêt_Non_Payé*Valeurs_Entrées,Capital,""), "")</f>
        <v/>
      </c>
      <c r="G129" s="36">
        <f>IFERROR(IF(Prêt_Non_Payé*Valeurs_Entrées,Intérêts,""), "")</f>
        <v>52.11615173724396</v>
      </c>
      <c r="H129" s="36">
        <f>IFERROR(IF(Prêt_Non_Payé*Valeurs_Entrées,Solde_Final,""), "")</f>
        <v>23702.82053937023</v>
      </c>
    </row>
    <row r="130" spans="2:10" x14ac:dyDescent="0.25">
      <c r="B130" s="34">
        <f>IFERROR(IF(Prêt_Non_Payé*Valeurs_Entrées,Numéro_Paiement,""), "")</f>
        <v>118</v>
      </c>
      <c r="C130" s="35">
        <f>IFERROR(IF(Prêt_Non_Payé*Valeurs_Entrées,Date_Paiement,""), "")</f>
        <v>48153</v>
      </c>
      <c r="D130" s="36">
        <f>IFERROR(IF(Prêt_Non_Payé*Valeurs_Entrées,Solde_Départ,""), "")</f>
        <v>23702.82053937023</v>
      </c>
      <c r="E130" s="36">
        <f>IFERROR(IF(Prêt_Non_Payé*Valeurs_Entrées,Paiement_Mensuel,""), "")</f>
        <v>402.90410647920658</v>
      </c>
      <c r="F130" s="36" t="str">
        <f>IFERROR(IF(Prêt_Non_Payé*Valeurs_Entrées,Capital,""), "")</f>
        <v/>
      </c>
      <c r="G130" s="36">
        <f>IFERROR(IF(Prêt_Non_Payé*Valeurs_Entrées,Intérêts,""), "")</f>
        <v>51.356111168636374</v>
      </c>
      <c r="H130" s="36">
        <f>IFERROR(IF(Prêt_Non_Payé*Valeurs_Entrées,Solde_Final,""), "")</f>
        <v>23351.272544059684</v>
      </c>
    </row>
    <row r="131" spans="2:10" x14ac:dyDescent="0.25">
      <c r="B131" s="34">
        <f>IFERROR(IF(Prêt_Non_Payé*Valeurs_Entrées,Numéro_Paiement,""), "")</f>
        <v>119</v>
      </c>
      <c r="C131" s="35">
        <f>IFERROR(IF(Prêt_Non_Payé*Valeurs_Entrées,Date_Paiement,""), "")</f>
        <v>48183</v>
      </c>
      <c r="D131" s="36">
        <f>IFERROR(IF(Prêt_Non_Payé*Valeurs_Entrées,Solde_Départ,""), "")</f>
        <v>23351.272544059684</v>
      </c>
      <c r="E131" s="36">
        <f>IFERROR(IF(Prêt_Non_Payé*Valeurs_Entrées,Paiement_Mensuel,""), "")</f>
        <v>402.90410647920658</v>
      </c>
      <c r="F131" s="36" t="str">
        <f>IFERROR(IF(Prêt_Non_Payé*Valeurs_Entrées,Capital,""), "")</f>
        <v/>
      </c>
      <c r="G131" s="36">
        <f>IFERROR(IF(Prêt_Non_Payé*Valeurs_Entrées,Intérêts,""), "")</f>
        <v>50.594423845463474</v>
      </c>
      <c r="H131" s="36">
        <f>IFERROR(IF(Prêt_Non_Payé*Valeurs_Entrées,Solde_Final,""), "")</f>
        <v>22998.96286142592</v>
      </c>
    </row>
    <row r="132" spans="2:10" x14ac:dyDescent="0.25">
      <c r="B132" s="34">
        <f>IFERROR(IF(Prêt_Non_Payé*Valeurs_Entrées,Numéro_Paiement,""), "")</f>
        <v>120</v>
      </c>
      <c r="C132" s="35">
        <f>IFERROR(IF(Prêt_Non_Payé*Valeurs_Entrées,Date_Paiement,""), "")</f>
        <v>48214</v>
      </c>
      <c r="D132" s="36">
        <f>IFERROR(IF(Prêt_Non_Payé*Valeurs_Entrées,Solde_Départ,""), "")</f>
        <v>22998.96286142592</v>
      </c>
      <c r="E132" s="36">
        <f>IFERROR(IF(Prêt_Non_Payé*Valeurs_Entrées,Paiement_Mensuel,""), "")</f>
        <v>402.90410647920658</v>
      </c>
      <c r="F132" s="36" t="str">
        <f>IFERROR(IF(Prêt_Non_Payé*Valeurs_Entrées,Capital,""), "")</f>
        <v/>
      </c>
      <c r="G132" s="36">
        <f>IFERROR(IF(Prêt_Non_Payé*Valeurs_Entrées,Intérêts,""), "")</f>
        <v>49.831086199757038</v>
      </c>
      <c r="H132" s="36">
        <f>IFERROR(IF(Prêt_Non_Payé*Valeurs_Entrées,Solde_Final,""), "")</f>
        <v>22645.889841146462</v>
      </c>
    </row>
    <row r="133" spans="2:10" x14ac:dyDescent="0.25">
      <c r="B133" s="34">
        <f>IFERROR(IF(Prêt_Non_Payé*Valeurs_Entrées,Numéro_Paiement,""), "")</f>
        <v>121</v>
      </c>
      <c r="C133" s="35">
        <f>IFERROR(IF(Prêt_Non_Payé*Valeurs_Entrées,Date_Paiement,""), "")</f>
        <v>48245</v>
      </c>
      <c r="D133" s="36">
        <f>IFERROR(IF(Prêt_Non_Payé*Valeurs_Entrées,Solde_Départ,""), "")</f>
        <v>22645.889841146462</v>
      </c>
      <c r="E133" s="36">
        <f>IFERROR(IF(Prêt_Non_Payé*Valeurs_Entrées,Paiement_Mensuel,""), "")</f>
        <v>402.90410647920658</v>
      </c>
      <c r="F133" s="36" t="str">
        <f>IFERROR(IF(Prêt_Non_Payé*Valeurs_Entrées,Capital,""), "")</f>
        <v/>
      </c>
      <c r="G133" s="36">
        <f>IFERROR(IF(Prêt_Non_Payé*Valeurs_Entrées,Intérêts,""), "")</f>
        <v>49.066094655818233</v>
      </c>
      <c r="H133" s="36">
        <f>IFERROR(IF(Prêt_Non_Payé*Valeurs_Entrées,Solde_Final,""), "")</f>
        <v>22292.051829323085</v>
      </c>
    </row>
    <row r="134" spans="2:10" x14ac:dyDescent="0.25">
      <c r="B134" s="34">
        <f>IFERROR(IF(Prêt_Non_Payé*Valeurs_Entrées,Numéro_Paiement,""), "")</f>
        <v>122</v>
      </c>
      <c r="C134" s="35">
        <f>IFERROR(IF(Prêt_Non_Payé*Valeurs_Entrées,Date_Paiement,""), "")</f>
        <v>48274</v>
      </c>
      <c r="D134" s="36">
        <f>IFERROR(IF(Prêt_Non_Payé*Valeurs_Entrées,Solde_Départ,""), "")</f>
        <v>22292.051829323085</v>
      </c>
      <c r="E134" s="36">
        <f>IFERROR(IF(Prêt_Non_Payé*Valeurs_Entrées,Paiement_Mensuel,""), "")</f>
        <v>402.90410647920658</v>
      </c>
      <c r="F134" s="36" t="str">
        <f>IFERROR(IF(Prêt_Non_Payé*Valeurs_Entrées,Capital,""), "")</f>
        <v/>
      </c>
      <c r="G134" s="36">
        <f>IFERROR(IF(Prêt_Non_Payé*Valeurs_Entrées,Intérêts,""), "")</f>
        <v>48.299445630200886</v>
      </c>
      <c r="H134" s="36">
        <f>IFERROR(IF(Prêt_Non_Payé*Valeurs_Entrées,Solde_Final,""), "")</f>
        <v>21937.447168474093</v>
      </c>
    </row>
    <row r="135" spans="2:10" x14ac:dyDescent="0.25">
      <c r="B135" s="34">
        <f>IFERROR(IF(Prêt_Non_Payé*Valeurs_Entrées,Numéro_Paiement,""), "")</f>
        <v>123</v>
      </c>
      <c r="C135" s="35">
        <f>IFERROR(IF(Prêt_Non_Payé*Valeurs_Entrées,Date_Paiement,""), "")</f>
        <v>48305</v>
      </c>
      <c r="D135" s="36">
        <f>IFERROR(IF(Prêt_Non_Payé*Valeurs_Entrées,Solde_Départ,""), "")</f>
        <v>21937.447168474093</v>
      </c>
      <c r="E135" s="36">
        <f>IFERROR(IF(Prêt_Non_Payé*Valeurs_Entrées,Paiement_Mensuel,""), "")</f>
        <v>402.90410647920658</v>
      </c>
      <c r="F135" s="36" t="str">
        <f>IFERROR(IF(Prêt_Non_Payé*Valeurs_Entrées,Capital,""), "")</f>
        <v/>
      </c>
      <c r="G135" s="36">
        <f>IFERROR(IF(Prêt_Non_Payé*Valeurs_Entrées,Intérêts,""), "")</f>
        <v>47.531135531694709</v>
      </c>
      <c r="H135" s="36">
        <f>IFERROR(IF(Prêt_Non_Payé*Valeurs_Entrées,Solde_Final,""), "")</f>
        <v>21582.074197526534</v>
      </c>
    </row>
    <row r="136" spans="2:10" x14ac:dyDescent="0.25">
      <c r="B136" s="34">
        <f>IFERROR(IF(Prêt_Non_Payé*Valeurs_Entrées,Numéro_Paiement,""), "")</f>
        <v>124</v>
      </c>
      <c r="C136" s="35">
        <f>IFERROR(IF(Prêt_Non_Payé*Valeurs_Entrées,Date_Paiement,""), "")</f>
        <v>48335</v>
      </c>
      <c r="D136" s="36">
        <f>IFERROR(IF(Prêt_Non_Payé*Valeurs_Entrées,Solde_Départ,""), "")</f>
        <v>21582.074197526534</v>
      </c>
      <c r="E136" s="36">
        <f>IFERROR(IF(Prêt_Non_Payé*Valeurs_Entrées,Paiement_Mensuel,""), "")</f>
        <v>402.90410647920658</v>
      </c>
      <c r="F136" s="36" t="str">
        <f>IFERROR(IF(Prêt_Non_Payé*Valeurs_Entrées,Capital,""), "")</f>
        <v/>
      </c>
      <c r="G136" s="36">
        <f>IFERROR(IF(Prêt_Non_Payé*Valeurs_Entrées,Intérêts,""), "")</f>
        <v>46.761160761308432</v>
      </c>
      <c r="H136" s="36">
        <f>IFERROR(IF(Prêt_Non_Payé*Valeurs_Entrées,Solde_Final,""), "")</f>
        <v>21225.931251808695</v>
      </c>
    </row>
    <row r="137" spans="2:10" x14ac:dyDescent="0.25">
      <c r="B137" s="34">
        <f>IFERROR(IF(Prêt_Non_Payé*Valeurs_Entrées,Numéro_Paiement,""), "")</f>
        <v>125</v>
      </c>
      <c r="C137" s="35">
        <f>IFERROR(IF(Prêt_Non_Payé*Valeurs_Entrées,Date_Paiement,""), "")</f>
        <v>48366</v>
      </c>
      <c r="D137" s="36">
        <f>IFERROR(IF(Prêt_Non_Payé*Valeurs_Entrées,Solde_Départ,""), "")</f>
        <v>21225.931251808695</v>
      </c>
      <c r="E137" s="36">
        <f>IFERROR(IF(Prêt_Non_Payé*Valeurs_Entrées,Paiement_Mensuel,""), "")</f>
        <v>402.90410647920658</v>
      </c>
      <c r="F137" s="36" t="str">
        <f>IFERROR(IF(Prêt_Non_Payé*Valeurs_Entrées,Capital,""), "")</f>
        <v/>
      </c>
      <c r="G137" s="36">
        <f>IFERROR(IF(Prêt_Non_Payé*Valeurs_Entrées,Intérêts,""), "")</f>
        <v>45.989517712252983</v>
      </c>
      <c r="H137" s="36">
        <f>IFERROR(IF(Prêt_Non_Payé*Valeurs_Entrées,Solde_Final,""), "")</f>
        <v>20869.01666304173</v>
      </c>
      <c r="J137" s="33">
        <f>IF(SUM(G121:G131)="",0,SUM(G121:G131))</f>
        <v>598.16092190682957</v>
      </c>
    </row>
    <row r="138" spans="2:10" x14ac:dyDescent="0.25">
      <c r="B138" s="34">
        <f>IFERROR(IF(Prêt_Non_Payé*Valeurs_Entrées,Numéro_Paiement,""), "")</f>
        <v>126</v>
      </c>
      <c r="C138" s="35">
        <f>IFERROR(IF(Prêt_Non_Payé*Valeurs_Entrées,Date_Paiement,""), "")</f>
        <v>48396</v>
      </c>
      <c r="D138" s="36">
        <f>IFERROR(IF(Prêt_Non_Payé*Valeurs_Entrées,Solde_Départ,""), "")</f>
        <v>20869.01666304173</v>
      </c>
      <c r="E138" s="36">
        <f>IFERROR(IF(Prêt_Non_Payé*Valeurs_Entrées,Paiement_Mensuel,""), "")</f>
        <v>402.90410647920658</v>
      </c>
      <c r="F138" s="36" t="str">
        <f>IFERROR(IF(Prêt_Non_Payé*Valeurs_Entrées,Capital,""), "")</f>
        <v/>
      </c>
      <c r="G138" s="36">
        <f>IFERROR(IF(Prêt_Non_Payé*Valeurs_Entrées,Intérêts,""), "")</f>
        <v>45.216202769924578</v>
      </c>
      <c r="H138" s="36">
        <f>IFERROR(IF(Prêt_Non_Payé*Valeurs_Entrées,Solde_Final,""), "")</f>
        <v>20511.328759332435</v>
      </c>
    </row>
    <row r="139" spans="2:10" x14ac:dyDescent="0.25">
      <c r="B139" s="34">
        <f>IFERROR(IF(Prêt_Non_Payé*Valeurs_Entrées,Numéro_Paiement,""), "")</f>
        <v>127</v>
      </c>
      <c r="C139" s="35">
        <f>IFERROR(IF(Prêt_Non_Payé*Valeurs_Entrées,Date_Paiement,""), "")</f>
        <v>48427</v>
      </c>
      <c r="D139" s="36">
        <f>IFERROR(IF(Prêt_Non_Payé*Valeurs_Entrées,Solde_Départ,""), "")</f>
        <v>20511.328759332435</v>
      </c>
      <c r="E139" s="36">
        <f>IFERROR(IF(Prêt_Non_Payé*Valeurs_Entrées,Paiement_Mensuel,""), "")</f>
        <v>402.90410647920658</v>
      </c>
      <c r="F139" s="36" t="str">
        <f>IFERROR(IF(Prêt_Non_Payé*Valeurs_Entrées,Capital,""), "")</f>
        <v/>
      </c>
      <c r="G139" s="36">
        <f>IFERROR(IF(Prêt_Non_Payé*Valeurs_Entrées,Intérêts,""), "")</f>
        <v>44.44121231188781</v>
      </c>
      <c r="H139" s="36">
        <f>IFERROR(IF(Prêt_Non_Payé*Valeurs_Entrées,Solde_Final,""), "")</f>
        <v>20152.865865165106</v>
      </c>
    </row>
    <row r="140" spans="2:10" x14ac:dyDescent="0.25">
      <c r="B140" s="34">
        <f>IFERROR(IF(Prêt_Non_Payé*Valeurs_Entrées,Numéro_Paiement,""), "")</f>
        <v>128</v>
      </c>
      <c r="C140" s="35">
        <f>IFERROR(IF(Prêt_Non_Payé*Valeurs_Entrées,Date_Paiement,""), "")</f>
        <v>48458</v>
      </c>
      <c r="D140" s="36">
        <f>IFERROR(IF(Prêt_Non_Payé*Valeurs_Entrées,Solde_Départ,""), "")</f>
        <v>20152.865865165106</v>
      </c>
      <c r="E140" s="36">
        <f>IFERROR(IF(Prêt_Non_Payé*Valeurs_Entrées,Paiement_Mensuel,""), "")</f>
        <v>402.90410647920658</v>
      </c>
      <c r="F140" s="36" t="str">
        <f>IFERROR(IF(Prêt_Non_Payé*Valeurs_Entrées,Capital,""), "")</f>
        <v/>
      </c>
      <c r="G140" s="36">
        <f>IFERROR(IF(Prêt_Non_Payé*Valeurs_Entrées,Intérêts,""), "")</f>
        <v>43.664542707858615</v>
      </c>
      <c r="H140" s="36">
        <f>IFERROR(IF(Prêt_Non_Payé*Valeurs_Entrées,Solde_Final,""), "")</f>
        <v>19793.626301393757</v>
      </c>
    </row>
    <row r="141" spans="2:10" x14ac:dyDescent="0.25">
      <c r="B141" s="34">
        <f>IFERROR(IF(Prêt_Non_Payé*Valeurs_Entrées,Numéro_Paiement,""), "")</f>
        <v>129</v>
      </c>
      <c r="C141" s="35">
        <f>IFERROR(IF(Prêt_Non_Payé*Valeurs_Entrées,Date_Paiement,""), "")</f>
        <v>48488</v>
      </c>
      <c r="D141" s="36">
        <f>IFERROR(IF(Prêt_Non_Payé*Valeurs_Entrées,Solde_Départ,""), "")</f>
        <v>19793.626301393757</v>
      </c>
      <c r="E141" s="36">
        <f>IFERROR(IF(Prêt_Non_Payé*Valeurs_Entrées,Paiement_Mensuel,""), "")</f>
        <v>402.90410647920658</v>
      </c>
      <c r="F141" s="36" t="str">
        <f>IFERROR(IF(Prêt_Non_Payé*Valeurs_Entrées,Capital,""), "")</f>
        <v/>
      </c>
      <c r="G141" s="36">
        <f>IFERROR(IF(Prêt_Non_Payé*Valeurs_Entrées,Intérêts,""), "")</f>
        <v>42.886190319687351</v>
      </c>
      <c r="H141" s="36">
        <f>IFERROR(IF(Prêt_Non_Payé*Valeurs_Entrées,Solde_Final,""), "")</f>
        <v>19433.608385234249</v>
      </c>
    </row>
    <row r="142" spans="2:10" x14ac:dyDescent="0.25">
      <c r="B142" s="34">
        <f>IFERROR(IF(Prêt_Non_Payé*Valeurs_Entrées,Numéro_Paiement,""), "")</f>
        <v>130</v>
      </c>
      <c r="C142" s="35">
        <f>IFERROR(IF(Prêt_Non_Payé*Valeurs_Entrées,Date_Paiement,""), "")</f>
        <v>48519</v>
      </c>
      <c r="D142" s="36">
        <f>IFERROR(IF(Prêt_Non_Payé*Valeurs_Entrées,Solde_Départ,""), "")</f>
        <v>19433.608385234249</v>
      </c>
      <c r="E142" s="36">
        <f>IFERROR(IF(Prêt_Non_Payé*Valeurs_Entrées,Paiement_Mensuel,""), "")</f>
        <v>402.90410647920658</v>
      </c>
      <c r="F142" s="36" t="str">
        <f>IFERROR(IF(Prêt_Non_Payé*Valeurs_Entrées,Capital,""), "")</f>
        <v/>
      </c>
      <c r="G142" s="36">
        <f>IFERROR(IF(Prêt_Non_Payé*Valeurs_Entrées,Intérêts,""), "")</f>
        <v>42.106151501341735</v>
      </c>
      <c r="H142" s="36">
        <f>IFERROR(IF(Prêt_Non_Payé*Valeurs_Entrées,Solde_Final,""), "")</f>
        <v>19072.810430256359</v>
      </c>
    </row>
    <row r="143" spans="2:10" x14ac:dyDescent="0.25">
      <c r="B143" s="34">
        <f>IFERROR(IF(Prêt_Non_Payé*Valeurs_Entrées,Numéro_Paiement,""), "")</f>
        <v>131</v>
      </c>
      <c r="C143" s="35">
        <f>IFERROR(IF(Prêt_Non_Payé*Valeurs_Entrées,Date_Paiement,""), "")</f>
        <v>48549</v>
      </c>
      <c r="D143" s="36">
        <f>IFERROR(IF(Prêt_Non_Payé*Valeurs_Entrées,Solde_Départ,""), "")</f>
        <v>19072.810430256359</v>
      </c>
      <c r="E143" s="36">
        <f>IFERROR(IF(Prêt_Non_Payé*Valeurs_Entrées,Paiement_Mensuel,""), "")</f>
        <v>402.90410647920658</v>
      </c>
      <c r="F143" s="36" t="str">
        <f>IFERROR(IF(Prêt_Non_Payé*Valeurs_Entrées,Capital,""), "")</f>
        <v/>
      </c>
      <c r="G143" s="36">
        <f>IFERROR(IF(Prêt_Non_Payé*Valeurs_Entrées,Intérêts,""), "")</f>
        <v>41.32442259888969</v>
      </c>
      <c r="H143" s="36">
        <f>IFERROR(IF(Prêt_Non_Payé*Valeurs_Entrées,Solde_Final,""), "")</f>
        <v>18711.23074637603</v>
      </c>
    </row>
    <row r="144" spans="2:10" x14ac:dyDescent="0.25">
      <c r="B144" s="34">
        <f>IFERROR(IF(Prêt_Non_Payé*Valeurs_Entrées,Numéro_Paiement,""), "")</f>
        <v>132</v>
      </c>
      <c r="C144" s="35">
        <f>IFERROR(IF(Prêt_Non_Payé*Valeurs_Entrées,Date_Paiement,""), "")</f>
        <v>48580</v>
      </c>
      <c r="D144" s="36">
        <f>IFERROR(IF(Prêt_Non_Payé*Valeurs_Entrées,Solde_Départ,""), "")</f>
        <v>18711.23074637603</v>
      </c>
      <c r="E144" s="36">
        <f>IFERROR(IF(Prêt_Non_Payé*Valeurs_Entrées,Paiement_Mensuel,""), "")</f>
        <v>402.90410647920658</v>
      </c>
      <c r="F144" s="36" t="str">
        <f>IFERROR(IF(Prêt_Non_Payé*Valeurs_Entrées,Capital,""), "")</f>
        <v/>
      </c>
      <c r="G144" s="36">
        <f>IFERROR(IF(Prêt_Non_Payé*Valeurs_Entrées,Intérêts,""), "")</f>
        <v>40.540999950482345</v>
      </c>
      <c r="H144" s="36">
        <f>IFERROR(IF(Prêt_Non_Payé*Valeurs_Entrées,Solde_Final,""), "")</f>
        <v>18348.867639847333</v>
      </c>
    </row>
    <row r="145" spans="2:10" x14ac:dyDescent="0.25">
      <c r="B145" s="34">
        <f>IFERROR(IF(Prêt_Non_Payé*Valeurs_Entrées,Numéro_Paiement,""), "")</f>
        <v>133</v>
      </c>
      <c r="C145" s="35">
        <f>IFERROR(IF(Prêt_Non_Payé*Valeurs_Entrées,Date_Paiement,""), "")</f>
        <v>48611</v>
      </c>
      <c r="D145" s="36">
        <f>IFERROR(IF(Prêt_Non_Payé*Valeurs_Entrées,Solde_Départ,""), "")</f>
        <v>18348.867639847333</v>
      </c>
      <c r="E145" s="36">
        <f>IFERROR(IF(Prêt_Non_Payé*Valeurs_Entrées,Paiement_Mensuel,""), "")</f>
        <v>402.90410647920658</v>
      </c>
      <c r="F145" s="36" t="str">
        <f>IFERROR(IF(Prêt_Non_Payé*Valeurs_Entrées,Capital,""), "")</f>
        <v/>
      </c>
      <c r="G145" s="36">
        <f>IFERROR(IF(Prêt_Non_Payé*Valeurs_Entrées,Intérêts,""), "")</f>
        <v>39.755879886336778</v>
      </c>
      <c r="H145" s="36">
        <f>IFERROR(IF(Prêt_Non_Payé*Valeurs_Entrées,Solde_Final,""), "")</f>
        <v>17985.719413254454</v>
      </c>
    </row>
    <row r="146" spans="2:10" x14ac:dyDescent="0.25">
      <c r="B146" s="34">
        <f>IFERROR(IF(Prêt_Non_Payé*Valeurs_Entrées,Numéro_Paiement,""), "")</f>
        <v>134</v>
      </c>
      <c r="C146" s="35">
        <f>IFERROR(IF(Prêt_Non_Payé*Valeurs_Entrées,Date_Paiement,""), "")</f>
        <v>48639</v>
      </c>
      <c r="D146" s="36">
        <f>IFERROR(IF(Prêt_Non_Payé*Valeurs_Entrées,Solde_Départ,""), "")</f>
        <v>17985.719413254454</v>
      </c>
      <c r="E146" s="36">
        <f>IFERROR(IF(Prêt_Non_Payé*Valeurs_Entrées,Paiement_Mensuel,""), "")</f>
        <v>402.90410647920658</v>
      </c>
      <c r="F146" s="36" t="str">
        <f>IFERROR(IF(Prêt_Non_Payé*Valeurs_Entrées,Capital,""), "")</f>
        <v/>
      </c>
      <c r="G146" s="36">
        <f>IFERROR(IF(Prêt_Non_Payé*Valeurs_Entrées,Intérêts,""), "")</f>
        <v>38.969058728718885</v>
      </c>
      <c r="H146" s="36">
        <f>IFERROR(IF(Prêt_Non_Payé*Valeurs_Entrées,Solde_Final,""), "")</f>
        <v>17621.784365503969</v>
      </c>
    </row>
    <row r="147" spans="2:10" x14ac:dyDescent="0.25">
      <c r="B147" s="34">
        <f>IFERROR(IF(Prêt_Non_Payé*Valeurs_Entrées,Numéro_Paiement,""), "")</f>
        <v>135</v>
      </c>
      <c r="C147" s="35">
        <f>IFERROR(IF(Prêt_Non_Payé*Valeurs_Entrées,Date_Paiement,""), "")</f>
        <v>48670</v>
      </c>
      <c r="D147" s="36">
        <f>IFERROR(IF(Prêt_Non_Payé*Valeurs_Entrées,Solde_Départ,""), "")</f>
        <v>17621.784365503969</v>
      </c>
      <c r="E147" s="36">
        <f>IFERROR(IF(Prêt_Non_Payé*Valeurs_Entrées,Paiement_Mensuel,""), "")</f>
        <v>402.90410647920658</v>
      </c>
      <c r="F147" s="36" t="str">
        <f>IFERROR(IF(Prêt_Non_Payé*Valeurs_Entrées,Capital,""), "")</f>
        <v/>
      </c>
      <c r="G147" s="36">
        <f>IFERROR(IF(Prêt_Non_Payé*Valeurs_Entrées,Intérêts,""), "")</f>
        <v>38.180532791926161</v>
      </c>
      <c r="H147" s="36">
        <f>IFERROR(IF(Prêt_Non_Payé*Valeurs_Entrées,Solde_Final,""), "")</f>
        <v>17257.060791816672</v>
      </c>
    </row>
    <row r="148" spans="2:10" x14ac:dyDescent="0.25">
      <c r="B148" s="34">
        <f>IFERROR(IF(Prêt_Non_Payé*Valeurs_Entrées,Numéro_Paiement,""), "")</f>
        <v>136</v>
      </c>
      <c r="C148" s="35">
        <f>IFERROR(IF(Prêt_Non_Payé*Valeurs_Entrées,Date_Paiement,""), "")</f>
        <v>48700</v>
      </c>
      <c r="D148" s="36">
        <f>IFERROR(IF(Prêt_Non_Payé*Valeurs_Entrées,Solde_Départ,""), "")</f>
        <v>17257.060791816672</v>
      </c>
      <c r="E148" s="36">
        <f>IFERROR(IF(Prêt_Non_Payé*Valeurs_Entrées,Paiement_Mensuel,""), "")</f>
        <v>402.90410647920658</v>
      </c>
      <c r="F148" s="36" t="str">
        <f>IFERROR(IF(Prêt_Non_Payé*Valeurs_Entrées,Capital,""), "")</f>
        <v/>
      </c>
      <c r="G148" s="36">
        <f>IFERROR(IF(Prêt_Non_Payé*Valeurs_Entrées,Intérêts,""), "")</f>
        <v>37.390298382270394</v>
      </c>
      <c r="H148" s="36">
        <f>IFERROR(IF(Prêt_Non_Payé*Valeurs_Entrées,Solde_Final,""), "")</f>
        <v>16891.546983719731</v>
      </c>
    </row>
    <row r="149" spans="2:10" x14ac:dyDescent="0.25">
      <c r="B149" s="34">
        <f>IFERROR(IF(Prêt_Non_Payé*Valeurs_Entrées,Numéro_Paiement,""), "")</f>
        <v>137</v>
      </c>
      <c r="C149" s="35">
        <f>IFERROR(IF(Prêt_Non_Payé*Valeurs_Entrées,Date_Paiement,""), "")</f>
        <v>48731</v>
      </c>
      <c r="D149" s="36">
        <f>IFERROR(IF(Prêt_Non_Payé*Valeurs_Entrées,Solde_Départ,""), "")</f>
        <v>16891.546983719731</v>
      </c>
      <c r="E149" s="36">
        <f>IFERROR(IF(Prêt_Non_Payé*Valeurs_Entrées,Paiement_Mensuel,""), "")</f>
        <v>402.90410647920658</v>
      </c>
      <c r="F149" s="36" t="str">
        <f>IFERROR(IF(Prêt_Non_Payé*Valeurs_Entrées,Capital,""), "")</f>
        <v/>
      </c>
      <c r="G149" s="36">
        <f>IFERROR(IF(Prêt_Non_Payé*Valeurs_Entrées,Intérêts,""), "")</f>
        <v>36.598351798060371</v>
      </c>
      <c r="H149" s="36">
        <f>IFERROR(IF(Prêt_Non_Payé*Valeurs_Entrées,Solde_Final,""), "")</f>
        <v>16525.241229038562</v>
      </c>
      <c r="J149" s="33">
        <f>IF(SUM(G133:G143)="",0,SUM(G133:G143))</f>
        <v>497.28607650086502</v>
      </c>
    </row>
    <row r="150" spans="2:10" x14ac:dyDescent="0.25">
      <c r="B150" s="34">
        <f>IFERROR(IF(Prêt_Non_Payé*Valeurs_Entrées,Numéro_Paiement,""), "")</f>
        <v>138</v>
      </c>
      <c r="C150" s="35">
        <f>IFERROR(IF(Prêt_Non_Payé*Valeurs_Entrées,Date_Paiement,""), "")</f>
        <v>48761</v>
      </c>
      <c r="D150" s="36">
        <f>IFERROR(IF(Prêt_Non_Payé*Valeurs_Entrées,Solde_Départ,""), "")</f>
        <v>16525.241229038562</v>
      </c>
      <c r="E150" s="36">
        <f>IFERROR(IF(Prêt_Non_Payé*Valeurs_Entrées,Paiement_Mensuel,""), "")</f>
        <v>402.90410647920658</v>
      </c>
      <c r="F150" s="36" t="str">
        <f>IFERROR(IF(Prêt_Non_Payé*Valeurs_Entrées,Capital,""), "")</f>
        <v/>
      </c>
      <c r="G150" s="36">
        <f>IFERROR(IF(Prêt_Non_Payé*Valeurs_Entrées,Intérêts,""), "")</f>
        <v>35.804689329584541</v>
      </c>
      <c r="H150" s="36">
        <f>IFERROR(IF(Prêt_Non_Payé*Valeurs_Entrées,Solde_Final,""), "")</f>
        <v>16158.141811888949</v>
      </c>
    </row>
    <row r="151" spans="2:10" x14ac:dyDescent="0.25">
      <c r="B151" s="34">
        <f>IFERROR(IF(Prêt_Non_Payé*Valeurs_Entrées,Numéro_Paiement,""), "")</f>
        <v>139</v>
      </c>
      <c r="C151" s="35">
        <f>IFERROR(IF(Prêt_Non_Payé*Valeurs_Entrées,Date_Paiement,""), "")</f>
        <v>48792</v>
      </c>
      <c r="D151" s="36">
        <f>IFERROR(IF(Prêt_Non_Payé*Valeurs_Entrées,Solde_Départ,""), "")</f>
        <v>16158.141811888949</v>
      </c>
      <c r="E151" s="36">
        <f>IFERROR(IF(Prêt_Non_Payé*Valeurs_Entrées,Paiement_Mensuel,""), "")</f>
        <v>402.90410647920658</v>
      </c>
      <c r="F151" s="36" t="str">
        <f>IFERROR(IF(Prêt_Non_Payé*Valeurs_Entrées,Capital,""), "")</f>
        <v/>
      </c>
      <c r="G151" s="36">
        <f>IFERROR(IF(Prêt_Non_Payé*Valeurs_Entrées,Intérêts,""), "")</f>
        <v>35.009307259093703</v>
      </c>
      <c r="H151" s="36">
        <f>IFERROR(IF(Prêt_Non_Payé*Valeurs_Entrées,Solde_Final,""), "")</f>
        <v>15790.247012668835</v>
      </c>
    </row>
    <row r="152" spans="2:10" x14ac:dyDescent="0.25">
      <c r="B152" s="34">
        <f>IFERROR(IF(Prêt_Non_Payé*Valeurs_Entrées,Numéro_Paiement,""), "")</f>
        <v>140</v>
      </c>
      <c r="C152" s="35">
        <f>IFERROR(IF(Prêt_Non_Payé*Valeurs_Entrées,Date_Paiement,""), "")</f>
        <v>48823</v>
      </c>
      <c r="D152" s="36">
        <f>IFERROR(IF(Prêt_Non_Payé*Valeurs_Entrées,Solde_Départ,""), "")</f>
        <v>15790.247012668835</v>
      </c>
      <c r="E152" s="36">
        <f>IFERROR(IF(Prêt_Non_Payé*Valeurs_Entrées,Paiement_Mensuel,""), "")</f>
        <v>402.90410647920658</v>
      </c>
      <c r="F152" s="36" t="str">
        <f>IFERROR(IF(Prêt_Non_Payé*Valeurs_Entrées,Capital,""), "")</f>
        <v/>
      </c>
      <c r="G152" s="36">
        <f>IFERROR(IF(Prêt_Non_Payé*Valeurs_Entrées,Intérêts,""), "")</f>
        <v>34.212201860783452</v>
      </c>
      <c r="H152" s="36">
        <f>IFERROR(IF(Prêt_Non_Payé*Valeurs_Entrées,Solde_Final,""), "")</f>
        <v>15421.555108050408</v>
      </c>
    </row>
    <row r="153" spans="2:10" x14ac:dyDescent="0.25">
      <c r="B153" s="34">
        <f>IFERROR(IF(Prêt_Non_Payé*Valeurs_Entrées,Numéro_Paiement,""), "")</f>
        <v>141</v>
      </c>
      <c r="C153" s="35">
        <f>IFERROR(IF(Prêt_Non_Payé*Valeurs_Entrées,Date_Paiement,""), "")</f>
        <v>48853</v>
      </c>
      <c r="D153" s="36">
        <f>IFERROR(IF(Prêt_Non_Payé*Valeurs_Entrées,Solde_Départ,""), "")</f>
        <v>15421.555108050408</v>
      </c>
      <c r="E153" s="36">
        <f>IFERROR(IF(Prêt_Non_Payé*Valeurs_Entrées,Paiement_Mensuel,""), "")</f>
        <v>402.90410647920658</v>
      </c>
      <c r="F153" s="36" t="str">
        <f>IFERROR(IF(Prêt_Non_Payé*Valeurs_Entrées,Capital,""), "")</f>
        <v/>
      </c>
      <c r="G153" s="36">
        <f>IFERROR(IF(Prêt_Non_Payé*Valeurs_Entrées,Intérêts,""), "")</f>
        <v>33.413369400776865</v>
      </c>
      <c r="H153" s="36">
        <f>IFERROR(IF(Prêt_Non_Payé*Valeurs_Entrées,Solde_Final,""), "")</f>
        <v>15052.064370972003</v>
      </c>
    </row>
    <row r="154" spans="2:10" x14ac:dyDescent="0.25">
      <c r="B154" s="34">
        <f>IFERROR(IF(Prêt_Non_Payé*Valeurs_Entrées,Numéro_Paiement,""), "")</f>
        <v>142</v>
      </c>
      <c r="C154" s="35">
        <f>IFERROR(IF(Prêt_Non_Payé*Valeurs_Entrées,Date_Paiement,""), "")</f>
        <v>48884</v>
      </c>
      <c r="D154" s="36">
        <f>IFERROR(IF(Prêt_Non_Payé*Valeurs_Entrées,Solde_Départ,""), "")</f>
        <v>15052.064370972003</v>
      </c>
      <c r="E154" s="36">
        <f>IFERROR(IF(Prêt_Non_Payé*Valeurs_Entrées,Paiement_Mensuel,""), "")</f>
        <v>402.90410647920658</v>
      </c>
      <c r="F154" s="36" t="str">
        <f>IFERROR(IF(Prêt_Non_Payé*Valeurs_Entrées,Capital,""), "")</f>
        <v/>
      </c>
      <c r="G154" s="36">
        <f>IFERROR(IF(Prêt_Non_Payé*Valeurs_Entrées,Intérêts,""), "")</f>
        <v>32.612806137106936</v>
      </c>
      <c r="H154" s="36">
        <f>IFERROR(IF(Prêt_Non_Payé*Valeurs_Entrées,Solde_Final,""), "")</f>
        <v>14681.77307062989</v>
      </c>
    </row>
    <row r="155" spans="2:10" x14ac:dyDescent="0.25">
      <c r="B155" s="34">
        <f>IFERROR(IF(Prêt_Non_Payé*Valeurs_Entrées,Numéro_Paiement,""), "")</f>
        <v>143</v>
      </c>
      <c r="C155" s="35">
        <f>IFERROR(IF(Prêt_Non_Payé*Valeurs_Entrées,Date_Paiement,""), "")</f>
        <v>48914</v>
      </c>
      <c r="D155" s="36">
        <f>IFERROR(IF(Prêt_Non_Payé*Valeurs_Entrées,Solde_Départ,""), "")</f>
        <v>14681.77307062989</v>
      </c>
      <c r="E155" s="36">
        <f>IFERROR(IF(Prêt_Non_Payé*Valeurs_Entrées,Paiement_Mensuel,""), "")</f>
        <v>402.90410647920658</v>
      </c>
      <c r="F155" s="36" t="str">
        <f>IFERROR(IF(Prêt_Non_Payé*Valeurs_Entrées,Capital,""), "")</f>
        <v/>
      </c>
      <c r="G155" s="36">
        <f>IFERROR(IF(Prêt_Non_Payé*Valeurs_Entrées,Intérêts,""), "")</f>
        <v>31.81050831969905</v>
      </c>
      <c r="H155" s="36">
        <f>IFERROR(IF(Prêt_Non_Payé*Valeurs_Entrées,Solde_Final,""), "")</f>
        <v>14310.679472470365</v>
      </c>
    </row>
    <row r="156" spans="2:10" x14ac:dyDescent="0.25">
      <c r="B156" s="34">
        <f>IFERROR(IF(Prêt_Non_Payé*Valeurs_Entrées,Numéro_Paiement,""), "")</f>
        <v>144</v>
      </c>
      <c r="C156" s="35">
        <f>IFERROR(IF(Prêt_Non_Payé*Valeurs_Entrées,Date_Paiement,""), "")</f>
        <v>48945</v>
      </c>
      <c r="D156" s="36">
        <f>IFERROR(IF(Prêt_Non_Payé*Valeurs_Entrées,Solde_Départ,""), "")</f>
        <v>14310.679472470365</v>
      </c>
      <c r="E156" s="36">
        <f>IFERROR(IF(Prêt_Non_Payé*Valeurs_Entrées,Paiement_Mensuel,""), "")</f>
        <v>402.90410647920658</v>
      </c>
      <c r="F156" s="36" t="str">
        <f>IFERROR(IF(Prêt_Non_Payé*Valeurs_Entrées,Capital,""), "")</f>
        <v/>
      </c>
      <c r="G156" s="36">
        <f>IFERROR(IF(Prêt_Non_Payé*Valeurs_Entrées,Intérêts,""), "")</f>
        <v>31.00647219035346</v>
      </c>
      <c r="H156" s="36">
        <f>IFERROR(IF(Prêt_Non_Payé*Valeurs_Entrées,Solde_Final,""), "")</f>
        <v>13938.781838181487</v>
      </c>
    </row>
    <row r="157" spans="2:10" x14ac:dyDescent="0.25">
      <c r="B157" s="34">
        <f>IFERROR(IF(Prêt_Non_Payé*Valeurs_Entrées,Numéro_Paiement,""), "")</f>
        <v>145</v>
      </c>
      <c r="C157" s="35">
        <f>IFERROR(IF(Prêt_Non_Payé*Valeurs_Entrées,Date_Paiement,""), "")</f>
        <v>48976</v>
      </c>
      <c r="D157" s="36">
        <f>IFERROR(IF(Prêt_Non_Payé*Valeurs_Entrées,Solde_Départ,""), "")</f>
        <v>13938.781838181487</v>
      </c>
      <c r="E157" s="36">
        <f>IFERROR(IF(Prêt_Non_Payé*Valeurs_Entrées,Paiement_Mensuel,""), "")</f>
        <v>402.90410647920658</v>
      </c>
      <c r="F157" s="36" t="str">
        <f>IFERROR(IF(Prêt_Non_Payé*Valeurs_Entrées,Capital,""), "")</f>
        <v/>
      </c>
      <c r="G157" s="36">
        <f>IFERROR(IF(Prêt_Non_Payé*Valeurs_Entrées,Intérêts,""), "")</f>
        <v>30.200693982727607</v>
      </c>
      <c r="H157" s="36">
        <f>IFERROR(IF(Prêt_Non_Payé*Valeurs_Entrées,Solde_Final,""), "")</f>
        <v>13566.078425685017</v>
      </c>
    </row>
    <row r="158" spans="2:10" x14ac:dyDescent="0.25">
      <c r="B158" s="34">
        <f>IFERROR(IF(Prêt_Non_Payé*Valeurs_Entrées,Numéro_Paiement,""), "")</f>
        <v>146</v>
      </c>
      <c r="C158" s="35">
        <f>IFERROR(IF(Prêt_Non_Payé*Valeurs_Entrées,Date_Paiement,""), "")</f>
        <v>49004</v>
      </c>
      <c r="D158" s="36">
        <f>IFERROR(IF(Prêt_Non_Payé*Valeurs_Entrées,Solde_Départ,""), "")</f>
        <v>13566.078425685017</v>
      </c>
      <c r="E158" s="36">
        <f>IFERROR(IF(Prêt_Non_Payé*Valeurs_Entrées,Paiement_Mensuel,""), "")</f>
        <v>402.90410647920658</v>
      </c>
      <c r="F158" s="36" t="str">
        <f>IFERROR(IF(Prêt_Non_Payé*Valeurs_Entrées,Capital,""), "")</f>
        <v/>
      </c>
      <c r="G158" s="36">
        <f>IFERROR(IF(Prêt_Non_Payé*Valeurs_Entrées,Intérêts,""), "")</f>
        <v>29.39316992231857</v>
      </c>
      <c r="H158" s="36">
        <f>IFERROR(IF(Prêt_Non_Payé*Valeurs_Entrées,Solde_Final,""), "")</f>
        <v>13192.567489128138</v>
      </c>
    </row>
    <row r="159" spans="2:10" x14ac:dyDescent="0.25">
      <c r="B159" s="34">
        <f>IFERROR(IF(Prêt_Non_Payé*Valeurs_Entrées,Numéro_Paiement,""), "")</f>
        <v>147</v>
      </c>
      <c r="C159" s="35">
        <f>IFERROR(IF(Prêt_Non_Payé*Valeurs_Entrées,Date_Paiement,""), "")</f>
        <v>49035</v>
      </c>
      <c r="D159" s="36">
        <f>IFERROR(IF(Prêt_Non_Payé*Valeurs_Entrées,Solde_Départ,""), "")</f>
        <v>13192.567489128138</v>
      </c>
      <c r="E159" s="36">
        <f>IFERROR(IF(Prêt_Non_Payé*Valeurs_Entrées,Paiement_Mensuel,""), "")</f>
        <v>402.90410647920658</v>
      </c>
      <c r="F159" s="36" t="str">
        <f>IFERROR(IF(Prêt_Non_Payé*Valeurs_Entrées,Capital,""), "")</f>
        <v/>
      </c>
      <c r="G159" s="36">
        <f>IFERROR(IF(Prêt_Non_Payé*Valeurs_Entrées,Intérêts,""), "")</f>
        <v>28.583896226445312</v>
      </c>
      <c r="H159" s="36">
        <f>IFERROR(IF(Prêt_Non_Payé*Valeurs_Entrées,Solde_Final,""), "")</f>
        <v>12818.247278875337</v>
      </c>
    </row>
    <row r="160" spans="2:10" x14ac:dyDescent="0.25">
      <c r="B160" s="34">
        <f>IFERROR(IF(Prêt_Non_Payé*Valeurs_Entrées,Numéro_Paiement,""), "")</f>
        <v>148</v>
      </c>
      <c r="C160" s="35">
        <f>IFERROR(IF(Prêt_Non_Payé*Valeurs_Entrées,Date_Paiement,""), "")</f>
        <v>49065</v>
      </c>
      <c r="D160" s="36">
        <f>IFERROR(IF(Prêt_Non_Payé*Valeurs_Entrées,Solde_Départ,""), "")</f>
        <v>12818.247278875337</v>
      </c>
      <c r="E160" s="36">
        <f>IFERROR(IF(Prêt_Non_Payé*Valeurs_Entrées,Paiement_Mensuel,""), "")</f>
        <v>402.90410647920658</v>
      </c>
      <c r="F160" s="36" t="str">
        <f>IFERROR(IF(Prêt_Non_Payé*Valeurs_Entrées,Capital,""), "")</f>
        <v/>
      </c>
      <c r="G160" s="36">
        <f>IFERROR(IF(Prêt_Non_Payé*Valeurs_Entrées,Intérêts,""), "")</f>
        <v>27.772869104230995</v>
      </c>
      <c r="H160" s="36">
        <f>IFERROR(IF(Prêt_Non_Payé*Valeurs_Entrées,Solde_Final,""), "")</f>
        <v>12443.116041500398</v>
      </c>
    </row>
    <row r="161" spans="2:10" x14ac:dyDescent="0.25">
      <c r="B161" s="34">
        <f>IFERROR(IF(Prêt_Non_Payé*Valeurs_Entrées,Numéro_Paiement,""), "")</f>
        <v>149</v>
      </c>
      <c r="C161" s="35">
        <f>IFERROR(IF(Prêt_Non_Payé*Valeurs_Entrées,Date_Paiement,""), "")</f>
        <v>49096</v>
      </c>
      <c r="D161" s="36">
        <f>IFERROR(IF(Prêt_Non_Payé*Valeurs_Entrées,Solde_Départ,""), "")</f>
        <v>12443.116041500398</v>
      </c>
      <c r="E161" s="36">
        <f>IFERROR(IF(Prêt_Non_Payé*Valeurs_Entrées,Paiement_Mensuel,""), "")</f>
        <v>402.90410647920658</v>
      </c>
      <c r="F161" s="36" t="str">
        <f>IFERROR(IF(Prêt_Non_Payé*Valeurs_Entrées,Capital,""), "")</f>
        <v/>
      </c>
      <c r="G161" s="36">
        <f>IFERROR(IF(Prêt_Non_Payé*Valeurs_Entrées,Intérêts,""), "")</f>
        <v>26.960084756585214</v>
      </c>
      <c r="H161" s="36">
        <f>IFERROR(IF(Prêt_Non_Payé*Valeurs_Entrées,Solde_Final,""), "")</f>
        <v>12067.172019777747</v>
      </c>
      <c r="J161" s="33">
        <f>IF(SUM(G145:G155)="",0,SUM(G145:G155))</f>
        <v>393.75700389435718</v>
      </c>
    </row>
    <row r="162" spans="2:10" x14ac:dyDescent="0.25">
      <c r="B162" s="34">
        <f>IFERROR(IF(Prêt_Non_Payé*Valeurs_Entrées,Numéro_Paiement,""), "")</f>
        <v>150</v>
      </c>
      <c r="C162" s="35">
        <f>IFERROR(IF(Prêt_Non_Payé*Valeurs_Entrées,Date_Paiement,""), "")</f>
        <v>49126</v>
      </c>
      <c r="D162" s="36">
        <f>IFERROR(IF(Prêt_Non_Payé*Valeurs_Entrées,Solde_Départ,""), "")</f>
        <v>12067.172019777747</v>
      </c>
      <c r="E162" s="36">
        <f>IFERROR(IF(Prêt_Non_Payé*Valeurs_Entrées,Paiement_Mensuel,""), "")</f>
        <v>402.90410647920658</v>
      </c>
      <c r="F162" s="36" t="str">
        <f>IFERROR(IF(Prêt_Non_Payé*Valeurs_Entrées,Capital,""), "")</f>
        <v/>
      </c>
      <c r="G162" s="36">
        <f>IFERROR(IF(Prêt_Non_Payé*Valeurs_Entrées,Intérêts,""), "")</f>
        <v>26.1455393761862</v>
      </c>
      <c r="H162" s="36">
        <f>IFERROR(IF(Prêt_Non_Payé*Valeurs_Entrées,Solde_Final,""), "")</f>
        <v>11690.413452674751</v>
      </c>
    </row>
    <row r="163" spans="2:10" x14ac:dyDescent="0.25">
      <c r="B163" s="34">
        <f>IFERROR(IF(Prêt_Non_Payé*Valeurs_Entrées,Numéro_Paiement,""), "")</f>
        <v>151</v>
      </c>
      <c r="C163" s="35">
        <f>IFERROR(IF(Prêt_Non_Payé*Valeurs_Entrées,Date_Paiement,""), "")</f>
        <v>49157</v>
      </c>
      <c r="D163" s="36">
        <f>IFERROR(IF(Prêt_Non_Payé*Valeurs_Entrées,Solde_Départ,""), "")</f>
        <v>11690.413452674751</v>
      </c>
      <c r="E163" s="36">
        <f>IFERROR(IF(Prêt_Non_Payé*Valeurs_Entrées,Paiement_Mensuel,""), "")</f>
        <v>402.90410647920658</v>
      </c>
      <c r="F163" s="36" t="str">
        <f>IFERROR(IF(Prêt_Non_Payé*Valeurs_Entrées,Capital,""), "")</f>
        <v/>
      </c>
      <c r="G163" s="36">
        <f>IFERROR(IF(Prêt_Non_Payé*Valeurs_Entrées,Intérêts,""), "")</f>
        <v>25.329229147462989</v>
      </c>
      <c r="H163" s="36">
        <f>IFERROR(IF(Prêt_Non_Payé*Valeurs_Entrées,Solde_Final,""), "")</f>
        <v>11312.838575342976</v>
      </c>
    </row>
    <row r="164" spans="2:10" x14ac:dyDescent="0.25">
      <c r="B164" s="34">
        <f>IFERROR(IF(Prêt_Non_Payé*Valeurs_Entrées,Numéro_Paiement,""), "")</f>
        <v>152</v>
      </c>
      <c r="C164" s="35">
        <f>IFERROR(IF(Prêt_Non_Payé*Valeurs_Entrées,Date_Paiement,""), "")</f>
        <v>49188</v>
      </c>
      <c r="D164" s="36">
        <f>IFERROR(IF(Prêt_Non_Payé*Valeurs_Entrées,Solde_Départ,""), "")</f>
        <v>11312.838575342976</v>
      </c>
      <c r="E164" s="36">
        <f>IFERROR(IF(Prêt_Non_Payé*Valeurs_Entrées,Paiement_Mensuel,""), "")</f>
        <v>402.90410647920658</v>
      </c>
      <c r="F164" s="36" t="str">
        <f>IFERROR(IF(Prêt_Non_Payé*Valeurs_Entrées,Capital,""), "")</f>
        <v/>
      </c>
      <c r="G164" s="36">
        <f>IFERROR(IF(Prêt_Non_Payé*Valeurs_Entrées,Intérêts,""), "")</f>
        <v>24.511150246577547</v>
      </c>
      <c r="H164" s="36">
        <f>IFERROR(IF(Prêt_Non_Payé*Valeurs_Entrées,Solde_Final,""), "")</f>
        <v>10934.445619110324</v>
      </c>
    </row>
    <row r="165" spans="2:10" x14ac:dyDescent="0.25">
      <c r="B165" s="34">
        <f>IFERROR(IF(Prêt_Non_Payé*Valeurs_Entrées,Numéro_Paiement,""), "")</f>
        <v>153</v>
      </c>
      <c r="C165" s="35">
        <f>IFERROR(IF(Prêt_Non_Payé*Valeurs_Entrées,Date_Paiement,""), "")</f>
        <v>49218</v>
      </c>
      <c r="D165" s="36">
        <f>IFERROR(IF(Prêt_Non_Payé*Valeurs_Entrées,Solde_Départ,""), "")</f>
        <v>10934.445619110324</v>
      </c>
      <c r="E165" s="36">
        <f>IFERROR(IF(Prêt_Non_Payé*Valeurs_Entrées,Paiement_Mensuel,""), "")</f>
        <v>402.90410647920658</v>
      </c>
      <c r="F165" s="36" t="str">
        <f>IFERROR(IF(Prêt_Non_Payé*Valeurs_Entrées,Capital,""), "")</f>
        <v/>
      </c>
      <c r="G165" s="36">
        <f>IFERROR(IF(Prêt_Non_Payé*Valeurs_Entrées,Intérêts,""), "")</f>
        <v>23.691298841406851</v>
      </c>
      <c r="H165" s="36">
        <f>IFERROR(IF(Prêt_Non_Payé*Valeurs_Entrées,Solde_Final,""), "")</f>
        <v>10555.232811472524</v>
      </c>
    </row>
    <row r="166" spans="2:10" x14ac:dyDescent="0.25">
      <c r="B166" s="34">
        <f>IFERROR(IF(Prêt_Non_Payé*Valeurs_Entrées,Numéro_Paiement,""), "")</f>
        <v>154</v>
      </c>
      <c r="C166" s="35">
        <f>IFERROR(IF(Prêt_Non_Payé*Valeurs_Entrées,Date_Paiement,""), "")</f>
        <v>49249</v>
      </c>
      <c r="D166" s="36">
        <f>IFERROR(IF(Prêt_Non_Payé*Valeurs_Entrées,Solde_Départ,""), "")</f>
        <v>10555.232811472524</v>
      </c>
      <c r="E166" s="36">
        <f>IFERROR(IF(Prêt_Non_Payé*Valeurs_Entrées,Paiement_Mensuel,""), "")</f>
        <v>402.90410647920658</v>
      </c>
      <c r="F166" s="36" t="str">
        <f>IFERROR(IF(Prêt_Non_Payé*Valeurs_Entrées,Capital,""), "")</f>
        <v/>
      </c>
      <c r="G166" s="36">
        <f>IFERROR(IF(Prêt_Non_Payé*Valeurs_Entrées,Intérêts,""), "")</f>
        <v>22.869671091524953</v>
      </c>
      <c r="H166" s="36">
        <f>IFERROR(IF(Prêt_Non_Payé*Valeurs_Entrées,Solde_Final,""), "")</f>
        <v>10175.198376084852</v>
      </c>
    </row>
    <row r="167" spans="2:10" x14ac:dyDescent="0.25">
      <c r="B167" s="34">
        <f>IFERROR(IF(Prêt_Non_Payé*Valeurs_Entrées,Numéro_Paiement,""), "")</f>
        <v>155</v>
      </c>
      <c r="C167" s="35">
        <f>IFERROR(IF(Prêt_Non_Payé*Valeurs_Entrées,Date_Paiement,""), "")</f>
        <v>49279</v>
      </c>
      <c r="D167" s="36">
        <f>IFERROR(IF(Prêt_Non_Payé*Valeurs_Entrées,Solde_Départ,""), "")</f>
        <v>10175.198376084852</v>
      </c>
      <c r="E167" s="36">
        <f>IFERROR(IF(Prêt_Non_Payé*Valeurs_Entrées,Paiement_Mensuel,""), "")</f>
        <v>402.90410647920658</v>
      </c>
      <c r="F167" s="36" t="str">
        <f>IFERROR(IF(Prêt_Non_Payé*Valeurs_Entrées,Capital,""), "")</f>
        <v/>
      </c>
      <c r="G167" s="36">
        <f>IFERROR(IF(Prêt_Non_Payé*Valeurs_Entrées,Intérêts,""), "")</f>
        <v>22.046263148184973</v>
      </c>
      <c r="H167" s="36">
        <f>IFERROR(IF(Prêt_Non_Payé*Valeurs_Entrées,Solde_Final,""), "")</f>
        <v>9794.3405327538203</v>
      </c>
    </row>
    <row r="168" spans="2:10" x14ac:dyDescent="0.25">
      <c r="B168" s="34">
        <f>IFERROR(IF(Prêt_Non_Payé*Valeurs_Entrées,Numéro_Paiement,""), "")</f>
        <v>156</v>
      </c>
      <c r="C168" s="35">
        <f>IFERROR(IF(Prêt_Non_Payé*Valeurs_Entrées,Date_Paiement,""), "")</f>
        <v>49310</v>
      </c>
      <c r="D168" s="36">
        <f>IFERROR(IF(Prêt_Non_Payé*Valeurs_Entrées,Solde_Départ,""), "")</f>
        <v>9794.3405327538203</v>
      </c>
      <c r="E168" s="36">
        <f>IFERROR(IF(Prêt_Non_Payé*Valeurs_Entrées,Paiement_Mensuel,""), "")</f>
        <v>402.90410647920658</v>
      </c>
      <c r="F168" s="36" t="str">
        <f>IFERROR(IF(Prêt_Non_Payé*Valeurs_Entrées,Capital,""), "")</f>
        <v/>
      </c>
      <c r="G168" s="36">
        <f>IFERROR(IF(Prêt_Non_Payé*Valeurs_Entrées,Intérêts,""), "")</f>
        <v>21.221071154301093</v>
      </c>
      <c r="H168" s="36">
        <f>IFERROR(IF(Prêt_Non_Payé*Valeurs_Entrées,Solde_Final,""), "")</f>
        <v>9412.6574974289251</v>
      </c>
    </row>
    <row r="169" spans="2:10" x14ac:dyDescent="0.25">
      <c r="B169" s="34">
        <f>IFERROR(IF(Prêt_Non_Payé*Valeurs_Entrées,Numéro_Paiement,""), "")</f>
        <v>157</v>
      </c>
      <c r="C169" s="35">
        <f>IFERROR(IF(Prêt_Non_Payé*Valeurs_Entrées,Date_Paiement,""), "")</f>
        <v>49341</v>
      </c>
      <c r="D169" s="36">
        <f>IFERROR(IF(Prêt_Non_Payé*Valeurs_Entrées,Solde_Départ,""), "")</f>
        <v>9412.6574974289251</v>
      </c>
      <c r="E169" s="36">
        <f>IFERROR(IF(Prêt_Non_Payé*Valeurs_Entrées,Paiement_Mensuel,""), "")</f>
        <v>402.90410647920658</v>
      </c>
      <c r="F169" s="36" t="str">
        <f>IFERROR(IF(Prêt_Non_Payé*Valeurs_Entrées,Capital,""), "")</f>
        <v/>
      </c>
      <c r="G169" s="36">
        <f>IFERROR(IF(Prêt_Non_Payé*Valeurs_Entrées,Intérêts,""), "")</f>
        <v>20.394091244430463</v>
      </c>
      <c r="H169" s="36">
        <f>IFERROR(IF(Prêt_Non_Payé*Valeurs_Entrées,Solde_Final,""), "")</f>
        <v>9030.1474821941665</v>
      </c>
    </row>
    <row r="170" spans="2:10" x14ac:dyDescent="0.25">
      <c r="B170" s="34">
        <f>IFERROR(IF(Prêt_Non_Payé*Valeurs_Entrées,Numéro_Paiement,""), "")</f>
        <v>158</v>
      </c>
      <c r="C170" s="35">
        <f>IFERROR(IF(Prêt_Non_Payé*Valeurs_Entrées,Date_Paiement,""), "")</f>
        <v>49369</v>
      </c>
      <c r="D170" s="36">
        <f>IFERROR(IF(Prêt_Non_Payé*Valeurs_Entrées,Solde_Départ,""), "")</f>
        <v>9030.1474821941665</v>
      </c>
      <c r="E170" s="36">
        <f>IFERROR(IF(Prêt_Non_Payé*Valeurs_Entrées,Paiement_Mensuel,""), "")</f>
        <v>402.90410647920658</v>
      </c>
      <c r="F170" s="36" t="str">
        <f>IFERROR(IF(Prêt_Non_Payé*Valeurs_Entrées,Capital,""), "")</f>
        <v/>
      </c>
      <c r="G170" s="36">
        <f>IFERROR(IF(Prêt_Non_Payé*Valeurs_Entrées,Intérêts,""), "")</f>
        <v>19.565319544755113</v>
      </c>
      <c r="H170" s="36">
        <f>IFERROR(IF(Prêt_Non_Payé*Valeurs_Entrées,Solde_Final,""), "")</f>
        <v>8646.8086952597077</v>
      </c>
    </row>
    <row r="171" spans="2:10" x14ac:dyDescent="0.25">
      <c r="B171" s="34">
        <f>IFERROR(IF(Prêt_Non_Payé*Valeurs_Entrées,Numéro_Paiement,""), "")</f>
        <v>159</v>
      </c>
      <c r="C171" s="35">
        <f>IFERROR(IF(Prêt_Non_Payé*Valeurs_Entrées,Date_Paiement,""), "")</f>
        <v>49400</v>
      </c>
      <c r="D171" s="36">
        <f>IFERROR(IF(Prêt_Non_Payé*Valeurs_Entrées,Solde_Départ,""), "")</f>
        <v>8646.8086952597077</v>
      </c>
      <c r="E171" s="36">
        <f>IFERROR(IF(Prêt_Non_Payé*Valeurs_Entrées,Paiement_Mensuel,""), "")</f>
        <v>402.90410647920658</v>
      </c>
      <c r="F171" s="36" t="str">
        <f>IFERROR(IF(Prêt_Non_Payé*Valeurs_Entrées,Capital,""), "")</f>
        <v/>
      </c>
      <c r="G171" s="36">
        <f>IFERROR(IF(Prêt_Non_Payé*Valeurs_Entrées,Intérêts,""), "")</f>
        <v>18.734752173063807</v>
      </c>
      <c r="H171" s="36">
        <f>IFERROR(IF(Prêt_Non_Payé*Valeurs_Entrées,Solde_Final,""), "")</f>
        <v>8262.6393409535231</v>
      </c>
    </row>
    <row r="172" spans="2:10" x14ac:dyDescent="0.25">
      <c r="B172" s="34">
        <f>IFERROR(IF(Prêt_Non_Payé*Valeurs_Entrées,Numéro_Paiement,""), "")</f>
        <v>160</v>
      </c>
      <c r="C172" s="35">
        <f>IFERROR(IF(Prêt_Non_Payé*Valeurs_Entrées,Date_Paiement,""), "")</f>
        <v>49430</v>
      </c>
      <c r="D172" s="36">
        <f>IFERROR(IF(Prêt_Non_Payé*Valeurs_Entrées,Solde_Départ,""), "")</f>
        <v>8262.6393409535231</v>
      </c>
      <c r="E172" s="36">
        <f>IFERROR(IF(Prêt_Non_Payé*Valeurs_Entrées,Paiement_Mensuel,""), "")</f>
        <v>402.90410647920658</v>
      </c>
      <c r="F172" s="36" t="str">
        <f>IFERROR(IF(Prêt_Non_Payé*Valeurs_Entrées,Capital,""), "")</f>
        <v/>
      </c>
      <c r="G172" s="36">
        <f>IFERROR(IF(Prêt_Non_Payé*Valeurs_Entrées,Intérêts,""), "")</f>
        <v>17.902385238733832</v>
      </c>
      <c r="H172" s="36">
        <f>IFERROR(IF(Prêt_Non_Payé*Valeurs_Entrées,Solde_Final,""), "")</f>
        <v>7877.6376197130448</v>
      </c>
    </row>
    <row r="173" spans="2:10" x14ac:dyDescent="0.25">
      <c r="B173" s="34">
        <f>IFERROR(IF(Prêt_Non_Payé*Valeurs_Entrées,Numéro_Paiement,""), "")</f>
        <v>161</v>
      </c>
      <c r="C173" s="35">
        <f>IFERROR(IF(Prêt_Non_Payé*Valeurs_Entrées,Date_Paiement,""), "")</f>
        <v>49461</v>
      </c>
      <c r="D173" s="36">
        <f>IFERROR(IF(Prêt_Non_Payé*Valeurs_Entrées,Solde_Départ,""), "")</f>
        <v>7877.6376197130448</v>
      </c>
      <c r="E173" s="36">
        <f>IFERROR(IF(Prêt_Non_Payé*Valeurs_Entrées,Paiement_Mensuel,""), "")</f>
        <v>402.90410647920658</v>
      </c>
      <c r="F173" s="36" t="str">
        <f>IFERROR(IF(Prêt_Non_Payé*Valeurs_Entrées,Capital,""), "")</f>
        <v/>
      </c>
      <c r="G173" s="36">
        <f>IFERROR(IF(Prêt_Non_Payé*Valeurs_Entrées,Intérêts,""), "")</f>
        <v>17.068214842712802</v>
      </c>
      <c r="H173" s="36">
        <f>IFERROR(IF(Prêt_Non_Payé*Valeurs_Entrées,Solde_Final,""), "")</f>
        <v>7491.801728076578</v>
      </c>
      <c r="J173" s="33">
        <f>IF(SUM(G157:G167)="",0,SUM(G157:G167))</f>
        <v>287.50386584365117</v>
      </c>
    </row>
    <row r="174" spans="2:10" x14ac:dyDescent="0.25">
      <c r="B174" s="34">
        <f>IFERROR(IF(Prêt_Non_Payé*Valeurs_Entrées,Numéro_Paiement,""), "")</f>
        <v>162</v>
      </c>
      <c r="C174" s="35">
        <f>IFERROR(IF(Prêt_Non_Payé*Valeurs_Entrées,Date_Paiement,""), "")</f>
        <v>49491</v>
      </c>
      <c r="D174" s="36">
        <f>IFERROR(IF(Prêt_Non_Payé*Valeurs_Entrées,Solde_Départ,""), "")</f>
        <v>7491.801728076578</v>
      </c>
      <c r="E174" s="36">
        <f>IFERROR(IF(Prêt_Non_Payé*Valeurs_Entrées,Paiement_Mensuel,""), "")</f>
        <v>402.90410647920658</v>
      </c>
      <c r="F174" s="36" t="str">
        <f>IFERROR(IF(Prêt_Non_Payé*Valeurs_Entrées,Capital,""), "")</f>
        <v/>
      </c>
      <c r="G174" s="36">
        <f>IFERROR(IF(Prêt_Non_Payé*Valeurs_Entrées,Intérêts,""), "")</f>
        <v>16.232237077500404</v>
      </c>
      <c r="H174" s="36">
        <f>IFERROR(IF(Prêt_Non_Payé*Valeurs_Entrées,Solde_Final,""), "")</f>
        <v>7105.1298586748599</v>
      </c>
    </row>
    <row r="175" spans="2:10" x14ac:dyDescent="0.25">
      <c r="B175" s="34">
        <f>IFERROR(IF(Prêt_Non_Payé*Valeurs_Entrées,Numéro_Paiement,""), "")</f>
        <v>163</v>
      </c>
      <c r="C175" s="35">
        <f>IFERROR(IF(Prêt_Non_Payé*Valeurs_Entrées,Date_Paiement,""), "")</f>
        <v>49522</v>
      </c>
      <c r="D175" s="36">
        <f>IFERROR(IF(Prêt_Non_Payé*Valeurs_Entrées,Solde_Départ,""), "")</f>
        <v>7105.1298586748599</v>
      </c>
      <c r="E175" s="36">
        <f>IFERROR(IF(Prêt_Non_Payé*Valeurs_Entrées,Paiement_Mensuel,""), "")</f>
        <v>402.90410647920658</v>
      </c>
      <c r="F175" s="36" t="str">
        <f>IFERROR(IF(Prêt_Non_Payé*Valeurs_Entrées,Capital,""), "")</f>
        <v/>
      </c>
      <c r="G175" s="36">
        <f>IFERROR(IF(Prêt_Non_Payé*Valeurs_Entrées,Intérêts,""), "")</f>
        <v>15.394448027130039</v>
      </c>
      <c r="H175" s="36">
        <f>IFERROR(IF(Prêt_Non_Payé*Valeurs_Entrées,Solde_Final,""), "")</f>
        <v>6717.6202002227365</v>
      </c>
    </row>
    <row r="176" spans="2:10" x14ac:dyDescent="0.25">
      <c r="B176" s="34">
        <f>IFERROR(IF(Prêt_Non_Payé*Valeurs_Entrées,Numéro_Paiement,""), "")</f>
        <v>164</v>
      </c>
      <c r="C176" s="35">
        <f>IFERROR(IF(Prêt_Non_Payé*Valeurs_Entrées,Date_Paiement,""), "")</f>
        <v>49553</v>
      </c>
      <c r="D176" s="36">
        <f>IFERROR(IF(Prêt_Non_Payé*Valeurs_Entrées,Solde_Départ,""), "")</f>
        <v>6717.6202002227365</v>
      </c>
      <c r="E176" s="36">
        <f>IFERROR(IF(Prêt_Non_Payé*Valeurs_Entrées,Paiement_Mensuel,""), "")</f>
        <v>402.90410647920658</v>
      </c>
      <c r="F176" s="36" t="str">
        <f>IFERROR(IF(Prêt_Non_Payé*Valeurs_Entrées,Capital,""), "")</f>
        <v/>
      </c>
      <c r="G176" s="36">
        <f>IFERROR(IF(Prêt_Non_Payé*Valeurs_Entrées,Intérêts,""), "")</f>
        <v>14.55484376715054</v>
      </c>
      <c r="H176" s="36">
        <f>IFERROR(IF(Prêt_Non_Payé*Valeurs_Entrées,Solde_Final,""), "")</f>
        <v>6329.2709375107224</v>
      </c>
    </row>
    <row r="177" spans="2:10" x14ac:dyDescent="0.25">
      <c r="B177" s="34">
        <f>IFERROR(IF(Prêt_Non_Payé*Valeurs_Entrées,Numéro_Paiement,""), "")</f>
        <v>165</v>
      </c>
      <c r="C177" s="35">
        <f>IFERROR(IF(Prêt_Non_Payé*Valeurs_Entrées,Date_Paiement,""), "")</f>
        <v>49583</v>
      </c>
      <c r="D177" s="36">
        <f>IFERROR(IF(Prêt_Non_Payé*Valeurs_Entrées,Solde_Départ,""), "")</f>
        <v>6329.2709375107224</v>
      </c>
      <c r="E177" s="36">
        <f>IFERROR(IF(Prêt_Non_Payé*Valeurs_Entrées,Paiement_Mensuel,""), "")</f>
        <v>402.90410647920658</v>
      </c>
      <c r="F177" s="36" t="str">
        <f>IFERROR(IF(Prêt_Non_Payé*Valeurs_Entrées,Capital,""), "")</f>
        <v/>
      </c>
      <c r="G177" s="36">
        <f>IFERROR(IF(Prêt_Non_Payé*Valeurs_Entrées,Intérêts,""), "")</f>
        <v>13.713420364607749</v>
      </c>
      <c r="H177" s="36">
        <f>IFERROR(IF(Prêt_Non_Payé*Valeurs_Entrées,Solde_Final,""), "")</f>
        <v>5940.0802513961098</v>
      </c>
    </row>
    <row r="178" spans="2:10" x14ac:dyDescent="0.25">
      <c r="B178" s="34">
        <f>IFERROR(IF(Prêt_Non_Payé*Valeurs_Entrées,Numéro_Paiement,""), "")</f>
        <v>166</v>
      </c>
      <c r="C178" s="35">
        <f>IFERROR(IF(Prêt_Non_Payé*Valeurs_Entrées,Date_Paiement,""), "")</f>
        <v>49614</v>
      </c>
      <c r="D178" s="36">
        <f>IFERROR(IF(Prêt_Non_Payé*Valeurs_Entrées,Solde_Départ,""), "")</f>
        <v>5940.0802513961098</v>
      </c>
      <c r="E178" s="36">
        <f>IFERROR(IF(Prêt_Non_Payé*Valeurs_Entrées,Paiement_Mensuel,""), "")</f>
        <v>402.90410647920658</v>
      </c>
      <c r="F178" s="36" t="str">
        <f>IFERROR(IF(Prêt_Non_Payé*Valeurs_Entrées,Capital,""), "")</f>
        <v/>
      </c>
      <c r="G178" s="36">
        <f>IFERROR(IF(Prêt_Non_Payé*Valeurs_Entrées,Intérêts,""), "")</f>
        <v>12.870173878026117</v>
      </c>
      <c r="H178" s="36">
        <f>IFERROR(IF(Prêt_Non_Payé*Valeurs_Entrées,Solde_Final,""), "")</f>
        <v>5550.0463187949499</v>
      </c>
    </row>
    <row r="179" spans="2:10" x14ac:dyDescent="0.25">
      <c r="B179" s="34">
        <f>IFERROR(IF(Prêt_Non_Payé*Valeurs_Entrées,Numéro_Paiement,""), "")</f>
        <v>167</v>
      </c>
      <c r="C179" s="35">
        <f>IFERROR(IF(Prêt_Non_Payé*Valeurs_Entrées,Date_Paiement,""), "")</f>
        <v>49644</v>
      </c>
      <c r="D179" s="36">
        <f>IFERROR(IF(Prêt_Non_Payé*Valeurs_Entrées,Solde_Départ,""), "")</f>
        <v>5550.0463187949499</v>
      </c>
      <c r="E179" s="36">
        <f>IFERROR(IF(Prêt_Non_Payé*Valeurs_Entrées,Paiement_Mensuel,""), "")</f>
        <v>402.90410647920658</v>
      </c>
      <c r="F179" s="36" t="str">
        <f>IFERROR(IF(Prêt_Non_Payé*Valeurs_Entrées,Capital,""), "")</f>
        <v/>
      </c>
      <c r="G179" s="36">
        <f>IFERROR(IF(Prêt_Non_Payé*Valeurs_Entrées,Intérêts,""), "")</f>
        <v>12.02510035739023</v>
      </c>
      <c r="H179" s="36">
        <f>IFERROR(IF(Prêt_Non_Payé*Valeurs_Entrées,Solde_Final,""), "")</f>
        <v>5159.1673126731039</v>
      </c>
    </row>
    <row r="180" spans="2:10" x14ac:dyDescent="0.25">
      <c r="B180" s="34">
        <f>IFERROR(IF(Prêt_Non_Payé*Valeurs_Entrées,Numéro_Paiement,""), "")</f>
        <v>168</v>
      </c>
      <c r="C180" s="35">
        <f>IFERROR(IF(Prêt_Non_Payé*Valeurs_Entrées,Date_Paiement,""), "")</f>
        <v>49675</v>
      </c>
      <c r="D180" s="36">
        <f>IFERROR(IF(Prêt_Non_Payé*Valeurs_Entrées,Solde_Départ,""), "")</f>
        <v>5159.1673126731039</v>
      </c>
      <c r="E180" s="36">
        <f>IFERROR(IF(Prêt_Non_Payé*Valeurs_Entrées,Paiement_Mensuel,""), "")</f>
        <v>402.90410647920658</v>
      </c>
      <c r="F180" s="36" t="str">
        <f>IFERROR(IF(Prêt_Non_Payé*Valeurs_Entrées,Capital,""), "")</f>
        <v/>
      </c>
      <c r="G180" s="36">
        <f>IFERROR(IF(Prêt_Non_Payé*Valeurs_Entrées,Intérêts,""), "")</f>
        <v>11.178195844126293</v>
      </c>
      <c r="H180" s="36">
        <f>IFERROR(IF(Prêt_Non_Payé*Valeurs_Entrées,Solde_Final,""), "")</f>
        <v>4767.4414020380063</v>
      </c>
    </row>
    <row r="181" spans="2:10" x14ac:dyDescent="0.25">
      <c r="B181" s="34">
        <f>IFERROR(IF(Prêt_Non_Payé*Valeurs_Entrées,Numéro_Paiement,""), "")</f>
        <v>169</v>
      </c>
      <c r="C181" s="35">
        <f>IFERROR(IF(Prêt_Non_Payé*Valeurs_Entrées,Date_Paiement,""), "")</f>
        <v>49706</v>
      </c>
      <c r="D181" s="36">
        <f>IFERROR(IF(Prêt_Non_Payé*Valeurs_Entrées,Solde_Départ,""), "")</f>
        <v>4767.4414020380063</v>
      </c>
      <c r="E181" s="36">
        <f>IFERROR(IF(Prêt_Non_Payé*Valeurs_Entrées,Paiement_Mensuel,""), "")</f>
        <v>402.90410647920658</v>
      </c>
      <c r="F181" s="36" t="str">
        <f>IFERROR(IF(Prêt_Non_Payé*Valeurs_Entrées,Capital,""), "")</f>
        <v/>
      </c>
      <c r="G181" s="36">
        <f>IFERROR(IF(Prêt_Non_Payé*Valeurs_Entrées,Intérêts,""), "")</f>
        <v>10.329456371083618</v>
      </c>
      <c r="H181" s="36">
        <f>IFERROR(IF(Prêt_Non_Payé*Valeurs_Entrées,Solde_Final,""), "")</f>
        <v>4374.8667519298615</v>
      </c>
    </row>
    <row r="182" spans="2:10" x14ac:dyDescent="0.25">
      <c r="B182" s="34">
        <f>IFERROR(IF(Prêt_Non_Payé*Valeurs_Entrées,Numéro_Paiement,""), "")</f>
        <v>170</v>
      </c>
      <c r="C182" s="35">
        <f>IFERROR(IF(Prêt_Non_Payé*Valeurs_Entrées,Date_Paiement,""), "")</f>
        <v>49735</v>
      </c>
      <c r="D182" s="36">
        <f>IFERROR(IF(Prêt_Non_Payé*Valeurs_Entrées,Solde_Départ,""), "")</f>
        <v>4374.8667519298615</v>
      </c>
      <c r="E182" s="36">
        <f>IFERROR(IF(Prêt_Non_Payé*Valeurs_Entrées,Paiement_Mensuel,""), "")</f>
        <v>402.90410647920658</v>
      </c>
      <c r="F182" s="36" t="str">
        <f>IFERROR(IF(Prêt_Non_Payé*Valeurs_Entrées,Capital,""), "")</f>
        <v/>
      </c>
      <c r="G182" s="36">
        <f>IFERROR(IF(Prêt_Non_Payé*Valeurs_Entrées,Intérêts,""), "")</f>
        <v>9.4788779625160196</v>
      </c>
      <c r="H182" s="36">
        <f>IFERROR(IF(Prêt_Non_Payé*Valeurs_Entrées,Solde_Final,""), "")</f>
        <v>3981.4415234131593</v>
      </c>
    </row>
    <row r="183" spans="2:10" x14ac:dyDescent="0.25">
      <c r="B183" s="34">
        <f>IFERROR(IF(Prêt_Non_Payé*Valeurs_Entrées,Numéro_Paiement,""), "")</f>
        <v>171</v>
      </c>
      <c r="C183" s="35">
        <f>IFERROR(IF(Prêt_Non_Payé*Valeurs_Entrées,Date_Paiement,""), "")</f>
        <v>49766</v>
      </c>
      <c r="D183" s="36">
        <f>IFERROR(IF(Prêt_Non_Payé*Valeurs_Entrées,Solde_Départ,""), "")</f>
        <v>3981.4415234131593</v>
      </c>
      <c r="E183" s="36">
        <f>IFERROR(IF(Prêt_Non_Payé*Valeurs_Entrées,Paiement_Mensuel,""), "")</f>
        <v>402.90410647920658</v>
      </c>
      <c r="F183" s="36" t="str">
        <f>IFERROR(IF(Prêt_Non_Payé*Valeurs_Entrées,Capital,""), "")</f>
        <v/>
      </c>
      <c r="G183" s="36">
        <f>IFERROR(IF(Prêt_Non_Payé*Valeurs_Entrées,Intérêts,""), "")</f>
        <v>8.6264566340631887</v>
      </c>
      <c r="H183" s="36">
        <f>IFERROR(IF(Prêt_Non_Payé*Valeurs_Entrées,Solde_Final,""), "")</f>
        <v>3587.1638735680463</v>
      </c>
    </row>
    <row r="184" spans="2:10" x14ac:dyDescent="0.25">
      <c r="B184" s="34">
        <f>IFERROR(IF(Prêt_Non_Payé*Valeurs_Entrées,Numéro_Paiement,""), "")</f>
        <v>172</v>
      </c>
      <c r="C184" s="35">
        <f>IFERROR(IF(Prêt_Non_Payé*Valeurs_Entrées,Date_Paiement,""), "")</f>
        <v>49796</v>
      </c>
      <c r="D184" s="36">
        <f>IFERROR(IF(Prêt_Non_Payé*Valeurs_Entrées,Solde_Départ,""), "")</f>
        <v>3587.1638735680463</v>
      </c>
      <c r="E184" s="36">
        <f>IFERROR(IF(Prêt_Non_Payé*Valeurs_Entrées,Paiement_Mensuel,""), "")</f>
        <v>402.90410647920658</v>
      </c>
      <c r="F184" s="36" t="str">
        <f>IFERROR(IF(Prêt_Non_Payé*Valeurs_Entrées,Capital,""), "")</f>
        <v/>
      </c>
      <c r="G184" s="36">
        <f>IFERROR(IF(Prêt_Non_Payé*Valeurs_Entrées,Intérêts,""), "")</f>
        <v>7.7721883927320468</v>
      </c>
      <c r="H184" s="36">
        <f>IFERROR(IF(Prêt_Non_Payé*Valeurs_Entrées,Solde_Final,""), "")</f>
        <v>3192.0319554815796</v>
      </c>
    </row>
    <row r="185" spans="2:10" x14ac:dyDescent="0.25">
      <c r="B185" s="34">
        <f>IFERROR(IF(Prêt_Non_Payé*Valeurs_Entrées,Numéro_Paiement,""), "")</f>
        <v>173</v>
      </c>
      <c r="C185" s="35">
        <f>IFERROR(IF(Prêt_Non_Payé*Valeurs_Entrées,Date_Paiement,""), "")</f>
        <v>49827</v>
      </c>
      <c r="D185" s="36">
        <f>IFERROR(IF(Prêt_Non_Payé*Valeurs_Entrées,Solde_Départ,""), "")</f>
        <v>3192.0319554815796</v>
      </c>
      <c r="E185" s="36">
        <f>IFERROR(IF(Prêt_Non_Payé*Valeurs_Entrées,Paiement_Mensuel,""), "")</f>
        <v>402.90410647920658</v>
      </c>
      <c r="F185" s="36" t="str">
        <f>IFERROR(IF(Prêt_Non_Payé*Valeurs_Entrées,Capital,""), "")</f>
        <v/>
      </c>
      <c r="G185" s="36">
        <f>IFERROR(IF(Prêt_Non_Payé*Valeurs_Entrées,Intérêts,""), "")</f>
        <v>6.9160692368780179</v>
      </c>
      <c r="H185" s="36">
        <f>IFERROR(IF(Prêt_Non_Payé*Valeurs_Entrées,Solde_Final,""), "")</f>
        <v>2796.0439182392729</v>
      </c>
      <c r="J185" s="33">
        <f>IF(SUM(G169:G179)="",0,SUM(G169:G179))</f>
        <v>178.4549865155011</v>
      </c>
    </row>
    <row r="186" spans="2:10" x14ac:dyDescent="0.25">
      <c r="B186" s="34">
        <f>IFERROR(IF(Prêt_Non_Payé*Valeurs_Entrées,Numéro_Paiement,""), "")</f>
        <v>174</v>
      </c>
      <c r="C186" s="35">
        <f>IFERROR(IF(Prêt_Non_Payé*Valeurs_Entrées,Date_Paiement,""), "")</f>
        <v>49857</v>
      </c>
      <c r="D186" s="36">
        <f>IFERROR(IF(Prêt_Non_Payé*Valeurs_Entrées,Solde_Départ,""), "")</f>
        <v>2796.0439182392729</v>
      </c>
      <c r="E186" s="36">
        <f>IFERROR(IF(Prêt_Non_Payé*Valeurs_Entrées,Paiement_Mensuel,""), "")</f>
        <v>402.90410647920658</v>
      </c>
      <c r="F186" s="36" t="str">
        <f>IFERROR(IF(Prêt_Non_Payé*Valeurs_Entrées,Capital,""), "")</f>
        <v/>
      </c>
      <c r="G186" s="36">
        <f>IFERROR(IF(Prêt_Non_Payé*Valeurs_Entrées,Intérêts,""), "")</f>
        <v>6.0580951561863055</v>
      </c>
      <c r="H186" s="36">
        <f>IFERROR(IF(Prêt_Non_Payé*Valeurs_Entrées,Solde_Final,""), "")</f>
        <v>2399.197906916248</v>
      </c>
    </row>
    <row r="187" spans="2:10" x14ac:dyDescent="0.25">
      <c r="B187" s="34">
        <f>IFERROR(IF(Prêt_Non_Payé*Valeurs_Entrées,Numéro_Paiement,""), "")</f>
        <v>175</v>
      </c>
      <c r="C187" s="35">
        <f>IFERROR(IF(Prêt_Non_Payé*Valeurs_Entrées,Date_Paiement,""), "")</f>
        <v>49888</v>
      </c>
      <c r="D187" s="36">
        <f>IFERROR(IF(Prêt_Non_Payé*Valeurs_Entrées,Solde_Départ,""), "")</f>
        <v>2399.197906916248</v>
      </c>
      <c r="E187" s="36">
        <f>IFERROR(IF(Prêt_Non_Payé*Valeurs_Entrées,Paiement_Mensuel,""), "")</f>
        <v>402.90410647920658</v>
      </c>
      <c r="F187" s="36" t="str">
        <f>IFERROR(IF(Prêt_Non_Payé*Valeurs_Entrées,Capital,""), "")</f>
        <v/>
      </c>
      <c r="G187" s="36">
        <f>IFERROR(IF(Prêt_Non_Payé*Valeurs_Entrées,Intérêts,""), "")</f>
        <v>5.1982621316530953</v>
      </c>
      <c r="H187" s="36">
        <f>IFERROR(IF(Prêt_Non_Payé*Valeurs_Entrées,Solde_Final,""), "")</f>
        <v>2001.49206256865</v>
      </c>
    </row>
    <row r="188" spans="2:10" x14ac:dyDescent="0.25">
      <c r="B188" s="34">
        <f>IFERROR(IF(Prêt_Non_Payé*Valeurs_Entrées,Numéro_Paiement,""), "")</f>
        <v>176</v>
      </c>
      <c r="C188" s="35">
        <f>IFERROR(IF(Prêt_Non_Payé*Valeurs_Entrées,Date_Paiement,""), "")</f>
        <v>49919</v>
      </c>
      <c r="D188" s="36">
        <f>IFERROR(IF(Prêt_Non_Payé*Valeurs_Entrées,Solde_Départ,""), "")</f>
        <v>2001.49206256865</v>
      </c>
      <c r="E188" s="36">
        <f>IFERROR(IF(Prêt_Non_Payé*Valeurs_Entrées,Paiement_Mensuel,""), "")</f>
        <v>402.90410647920658</v>
      </c>
      <c r="F188" s="36" t="str">
        <f>IFERROR(IF(Prêt_Non_Payé*Valeurs_Entrées,Capital,""), "")</f>
        <v/>
      </c>
      <c r="G188" s="36">
        <f>IFERROR(IF(Prêt_Non_Payé*Valeurs_Entrées,Intérêts,""), "")</f>
        <v>4.3365661355667289</v>
      </c>
      <c r="H188" s="36">
        <f>IFERROR(IF(Prêt_Non_Payé*Valeurs_Entrées,Solde_Final,""), "")</f>
        <v>1602.9245222249883</v>
      </c>
    </row>
    <row r="189" spans="2:10" x14ac:dyDescent="0.25">
      <c r="B189" s="34">
        <f>IFERROR(IF(Prêt_Non_Payé*Valeurs_Entrées,Numéro_Paiement,""), "")</f>
        <v>177</v>
      </c>
      <c r="C189" s="35">
        <f>IFERROR(IF(Prêt_Non_Payé*Valeurs_Entrées,Date_Paiement,""), "")</f>
        <v>49949</v>
      </c>
      <c r="D189" s="36">
        <f>IFERROR(IF(Prêt_Non_Payé*Valeurs_Entrées,Solde_Départ,""), "")</f>
        <v>1602.9245222249883</v>
      </c>
      <c r="E189" s="36">
        <f>IFERROR(IF(Prêt_Non_Payé*Valeurs_Entrées,Paiement_Mensuel,""), "")</f>
        <v>402.90410647920658</v>
      </c>
      <c r="F189" s="36" t="str">
        <f>IFERROR(IF(Prêt_Non_Payé*Valeurs_Entrées,Capital,""), "")</f>
        <v/>
      </c>
      <c r="G189" s="36">
        <f>IFERROR(IF(Prêt_Non_Payé*Valeurs_Entrées,Intérêts,""), "")</f>
        <v>3.4730031314888437</v>
      </c>
      <c r="H189" s="36">
        <f>IFERROR(IF(Prêt_Non_Payé*Valeurs_Entrées,Solde_Final,""), "")</f>
        <v>1203.493418877275</v>
      </c>
    </row>
    <row r="190" spans="2:10" x14ac:dyDescent="0.25">
      <c r="B190" s="34">
        <f>IFERROR(IF(Prêt_Non_Payé*Valeurs_Entrées,Numéro_Paiement,""), "")</f>
        <v>178</v>
      </c>
      <c r="C190" s="35">
        <f>IFERROR(IF(Prêt_Non_Payé*Valeurs_Entrées,Date_Paiement,""), "")</f>
        <v>49980</v>
      </c>
      <c r="D190" s="36">
        <f>IFERROR(IF(Prêt_Non_Payé*Valeurs_Entrées,Solde_Départ,""), "")</f>
        <v>1203.493418877275</v>
      </c>
      <c r="E190" s="36">
        <f>IFERROR(IF(Prêt_Non_Payé*Valeurs_Entrées,Paiement_Mensuel,""), "")</f>
        <v>402.90410647920658</v>
      </c>
      <c r="F190" s="36" t="str">
        <f>IFERROR(IF(Prêt_Non_Payé*Valeurs_Entrées,Capital,""), "")</f>
        <v/>
      </c>
      <c r="G190" s="36">
        <f>IFERROR(IF(Prêt_Non_Payé*Valeurs_Entrées,Intérêts,""), "")</f>
        <v>2.6075690742354545</v>
      </c>
      <c r="H190" s="36">
        <f>IFERROR(IF(Prêt_Non_Payé*Valeurs_Entrées,Solde_Final,""), "")</f>
        <v>803.19688147229317</v>
      </c>
    </row>
    <row r="191" spans="2:10" x14ac:dyDescent="0.25">
      <c r="B191" s="34">
        <f>IFERROR(IF(Prêt_Non_Payé*Valeurs_Entrées,Numéro_Paiement,""), "")</f>
        <v>179</v>
      </c>
      <c r="C191" s="35">
        <f>IFERROR(IF(Prêt_Non_Payé*Valeurs_Entrées,Date_Paiement,""), "")</f>
        <v>50010</v>
      </c>
      <c r="D191" s="36">
        <f>IFERROR(IF(Prêt_Non_Payé*Valeurs_Entrées,Solde_Départ,""), "")</f>
        <v>803.19688147229317</v>
      </c>
      <c r="E191" s="36">
        <f>IFERROR(IF(Prêt_Non_Payé*Valeurs_Entrées,Paiement_Mensuel,""), "")</f>
        <v>402.90410647920658</v>
      </c>
      <c r="F191" s="36" t="str">
        <f>IFERROR(IF(Prêt_Non_Payé*Valeurs_Entrées,Capital,""), "")</f>
        <v/>
      </c>
      <c r="G191" s="36">
        <f>IFERROR(IF(Prêt_Non_Payé*Valeurs_Entrées,Intérêts,""), "")</f>
        <v>1.7402599098580167</v>
      </c>
      <c r="H191" s="36">
        <f>IFERROR(IF(Prêt_Non_Payé*Valeurs_Entrées,Solde_Final,""), "")</f>
        <v>402.03303490296821</v>
      </c>
    </row>
    <row r="192" spans="2:10" x14ac:dyDescent="0.25">
      <c r="B192" s="34">
        <f>IFERROR(IF(Prêt_Non_Payé*Valeurs_Entrées,Numéro_Paiement,""), "")</f>
        <v>180</v>
      </c>
      <c r="C192" s="35">
        <f>IFERROR(IF(Prêt_Non_Payé*Valeurs_Entrées,Date_Paiement,""), "")</f>
        <v>50041</v>
      </c>
      <c r="D192" s="36">
        <f>IFERROR(IF(Prêt_Non_Payé*Valeurs_Entrées,Solde_Départ,""), "")</f>
        <v>402.03303490296821</v>
      </c>
      <c r="E192" s="36">
        <f>IFERROR(IF(Prêt_Non_Payé*Valeurs_Entrées,Paiement_Mensuel,""), "")</f>
        <v>402.90410647920658</v>
      </c>
      <c r="F192" s="36" t="str">
        <f>IFERROR(IF(Prêt_Non_Payé*Valeurs_Entrées,Capital,""), "")</f>
        <v/>
      </c>
      <c r="G192" s="36">
        <f>IFERROR(IF(Prêt_Non_Payé*Valeurs_Entrées,Intérêts,""), "")</f>
        <v>0.87107157562442805</v>
      </c>
      <c r="H192" s="36">
        <f>IFERROR(IF(Prêt_Non_Payé*Valeurs_Entrées,Solde_Final,""), "")</f>
        <v>-6.4028427004814148E-10</v>
      </c>
    </row>
    <row r="193" spans="2:10" x14ac:dyDescent="0.25">
      <c r="B193" s="34" t="str">
        <f>IFERROR(IF(Prêt_Non_Payé*Valeurs_Entrées,Numéro_Paiement,""), "")</f>
        <v/>
      </c>
      <c r="C193" s="35" t="str">
        <f>IFERROR(IF(Prêt_Non_Payé*Valeurs_Entrées,Date_Paiement,""), "")</f>
        <v/>
      </c>
      <c r="D193" s="36" t="str">
        <f>IFERROR(IF(Prêt_Non_Payé*Valeurs_Entrées,Solde_Départ,""), "")</f>
        <v/>
      </c>
      <c r="E193" s="36" t="str">
        <f>IFERROR(IF(Prêt_Non_Payé*Valeurs_Entrées,Paiement_Mensuel,""), "")</f>
        <v/>
      </c>
      <c r="F193" s="36" t="str">
        <f>IFERROR(IF(Prêt_Non_Payé*Valeurs_Entrées,Capital,""), "")</f>
        <v/>
      </c>
      <c r="G193" s="36" t="str">
        <f>IFERROR(IF(Prêt_Non_Payé*Valeurs_Entrées,Intérêts,""), "")</f>
        <v/>
      </c>
      <c r="H193" s="36" t="str">
        <f>IFERROR(IF(Prêt_Non_Payé*Valeurs_Entrées,Solde_Final,""), "")</f>
        <v/>
      </c>
    </row>
    <row r="194" spans="2:10" x14ac:dyDescent="0.25">
      <c r="B194" s="34" t="str">
        <f>IFERROR(IF(Prêt_Non_Payé*Valeurs_Entrées,Numéro_Paiement,""), "")</f>
        <v/>
      </c>
      <c r="C194" s="35" t="str">
        <f>IFERROR(IF(Prêt_Non_Payé*Valeurs_Entrées,Date_Paiement,""), "")</f>
        <v/>
      </c>
      <c r="D194" s="36" t="str">
        <f>IFERROR(IF(Prêt_Non_Payé*Valeurs_Entrées,Solde_Départ,""), "")</f>
        <v/>
      </c>
      <c r="E194" s="36" t="str">
        <f>IFERROR(IF(Prêt_Non_Payé*Valeurs_Entrées,Paiement_Mensuel,""), "")</f>
        <v/>
      </c>
      <c r="F194" s="36" t="str">
        <f>IFERROR(IF(Prêt_Non_Payé*Valeurs_Entrées,Capital,""), "")</f>
        <v/>
      </c>
      <c r="G194" s="36" t="str">
        <f>IFERROR(IF(Prêt_Non_Payé*Valeurs_Entrées,Intérêts,""), "")</f>
        <v/>
      </c>
      <c r="H194" s="36" t="str">
        <f>IFERROR(IF(Prêt_Non_Payé*Valeurs_Entrées,Solde_Final,""), "")</f>
        <v/>
      </c>
    </row>
    <row r="195" spans="2:10" x14ac:dyDescent="0.25">
      <c r="B195" s="34" t="str">
        <f>IFERROR(IF(Prêt_Non_Payé*Valeurs_Entrées,Numéro_Paiement,""), "")</f>
        <v/>
      </c>
      <c r="C195" s="35" t="str">
        <f>IFERROR(IF(Prêt_Non_Payé*Valeurs_Entrées,Date_Paiement,""), "")</f>
        <v/>
      </c>
      <c r="D195" s="36" t="str">
        <f>IFERROR(IF(Prêt_Non_Payé*Valeurs_Entrées,Solde_Départ,""), "")</f>
        <v/>
      </c>
      <c r="E195" s="36" t="str">
        <f>IFERROR(IF(Prêt_Non_Payé*Valeurs_Entrées,Paiement_Mensuel,""), "")</f>
        <v/>
      </c>
      <c r="F195" s="36" t="str">
        <f>IFERROR(IF(Prêt_Non_Payé*Valeurs_Entrées,Capital,""), "")</f>
        <v/>
      </c>
      <c r="G195" s="36" t="str">
        <f>IFERROR(IF(Prêt_Non_Payé*Valeurs_Entrées,Intérêts,""), "")</f>
        <v/>
      </c>
      <c r="H195" s="36" t="str">
        <f>IFERROR(IF(Prêt_Non_Payé*Valeurs_Entrées,Solde_Final,""), "")</f>
        <v/>
      </c>
    </row>
    <row r="196" spans="2:10" x14ac:dyDescent="0.25">
      <c r="B196" s="34" t="str">
        <f>IFERROR(IF(Prêt_Non_Payé*Valeurs_Entrées,Numéro_Paiement,""), "")</f>
        <v/>
      </c>
      <c r="C196" s="35" t="str">
        <f>IFERROR(IF(Prêt_Non_Payé*Valeurs_Entrées,Date_Paiement,""), "")</f>
        <v/>
      </c>
      <c r="D196" s="36" t="str">
        <f>IFERROR(IF(Prêt_Non_Payé*Valeurs_Entrées,Solde_Départ,""), "")</f>
        <v/>
      </c>
      <c r="E196" s="36" t="str">
        <f>IFERROR(IF(Prêt_Non_Payé*Valeurs_Entrées,Paiement_Mensuel,""), "")</f>
        <v/>
      </c>
      <c r="F196" s="36" t="str">
        <f>IFERROR(IF(Prêt_Non_Payé*Valeurs_Entrées,Capital,""), "")</f>
        <v/>
      </c>
      <c r="G196" s="36" t="str">
        <f>IFERROR(IF(Prêt_Non_Payé*Valeurs_Entrées,Intérêts,""), "")</f>
        <v/>
      </c>
      <c r="H196" s="36" t="str">
        <f>IFERROR(IF(Prêt_Non_Payé*Valeurs_Entrées,Solde_Final,""), "")</f>
        <v/>
      </c>
    </row>
    <row r="197" spans="2:10" x14ac:dyDescent="0.25">
      <c r="B197" s="34" t="str">
        <f>IFERROR(IF(Prêt_Non_Payé*Valeurs_Entrées,Numéro_Paiement,""), "")</f>
        <v/>
      </c>
      <c r="C197" s="35" t="str">
        <f>IFERROR(IF(Prêt_Non_Payé*Valeurs_Entrées,Date_Paiement,""), "")</f>
        <v/>
      </c>
      <c r="D197" s="36" t="str">
        <f>IFERROR(IF(Prêt_Non_Payé*Valeurs_Entrées,Solde_Départ,""), "")</f>
        <v/>
      </c>
      <c r="E197" s="36" t="str">
        <f>IFERROR(IF(Prêt_Non_Payé*Valeurs_Entrées,Paiement_Mensuel,""), "")</f>
        <v/>
      </c>
      <c r="F197" s="36" t="str">
        <f>IFERROR(IF(Prêt_Non_Payé*Valeurs_Entrées,Capital,""), "")</f>
        <v/>
      </c>
      <c r="G197" s="36" t="str">
        <f>IFERROR(IF(Prêt_Non_Payé*Valeurs_Entrées,Intérêts,""), "")</f>
        <v/>
      </c>
      <c r="H197" s="36" t="str">
        <f>IFERROR(IF(Prêt_Non_Payé*Valeurs_Entrées,Solde_Final,""), "")</f>
        <v/>
      </c>
      <c r="J197" s="33">
        <f>IF(SUM(G181:G191)="",0,SUM(G181:G191))</f>
        <v>66.536804136261324</v>
      </c>
    </row>
    <row r="198" spans="2:10" x14ac:dyDescent="0.25">
      <c r="B198" s="34" t="str">
        <f>IFERROR(IF(Prêt_Non_Payé*Valeurs_Entrées,Numéro_Paiement,""), "")</f>
        <v/>
      </c>
      <c r="C198" s="35" t="str">
        <f>IFERROR(IF(Prêt_Non_Payé*Valeurs_Entrées,Date_Paiement,""), "")</f>
        <v/>
      </c>
      <c r="D198" s="36" t="str">
        <f>IFERROR(IF(Prêt_Non_Payé*Valeurs_Entrées,Solde_Départ,""), "")</f>
        <v/>
      </c>
      <c r="E198" s="36" t="str">
        <f>IFERROR(IF(Prêt_Non_Payé*Valeurs_Entrées,Paiement_Mensuel,""), "")</f>
        <v/>
      </c>
      <c r="F198" s="36" t="str">
        <f>IFERROR(IF(Prêt_Non_Payé*Valeurs_Entrées,Capital,""), "")</f>
        <v/>
      </c>
      <c r="G198" s="36" t="str">
        <f>IFERROR(IF(Prêt_Non_Payé*Valeurs_Entrées,Intérêts,""), "")</f>
        <v/>
      </c>
      <c r="H198" s="36" t="str">
        <f>IFERROR(IF(Prêt_Non_Payé*Valeurs_Entrées,Solde_Final,""), "")</f>
        <v/>
      </c>
    </row>
    <row r="199" spans="2:10" x14ac:dyDescent="0.25">
      <c r="B199" s="34" t="str">
        <f>IFERROR(IF(Prêt_Non_Payé*Valeurs_Entrées,Numéro_Paiement,""), "")</f>
        <v/>
      </c>
      <c r="C199" s="35" t="str">
        <f>IFERROR(IF(Prêt_Non_Payé*Valeurs_Entrées,Date_Paiement,""), "")</f>
        <v/>
      </c>
      <c r="D199" s="36" t="str">
        <f>IFERROR(IF(Prêt_Non_Payé*Valeurs_Entrées,Solde_Départ,""), "")</f>
        <v/>
      </c>
      <c r="E199" s="36" t="str">
        <f>IFERROR(IF(Prêt_Non_Payé*Valeurs_Entrées,Paiement_Mensuel,""), "")</f>
        <v/>
      </c>
      <c r="F199" s="36" t="str">
        <f>IFERROR(IF(Prêt_Non_Payé*Valeurs_Entrées,Capital,""), "")</f>
        <v/>
      </c>
      <c r="G199" s="36" t="str">
        <f>IFERROR(IF(Prêt_Non_Payé*Valeurs_Entrées,Intérêts,""), "")</f>
        <v/>
      </c>
      <c r="H199" s="36" t="str">
        <f>IFERROR(IF(Prêt_Non_Payé*Valeurs_Entrées,Solde_Final,""), "")</f>
        <v/>
      </c>
    </row>
    <row r="200" spans="2:10" x14ac:dyDescent="0.25">
      <c r="B200" s="34" t="str">
        <f>IFERROR(IF(Prêt_Non_Payé*Valeurs_Entrées,Numéro_Paiement,""), "")</f>
        <v/>
      </c>
      <c r="C200" s="35" t="str">
        <f>IFERROR(IF(Prêt_Non_Payé*Valeurs_Entrées,Date_Paiement,""), "")</f>
        <v/>
      </c>
      <c r="D200" s="36" t="str">
        <f>IFERROR(IF(Prêt_Non_Payé*Valeurs_Entrées,Solde_Départ,""), "")</f>
        <v/>
      </c>
      <c r="E200" s="36" t="str">
        <f>IFERROR(IF(Prêt_Non_Payé*Valeurs_Entrées,Paiement_Mensuel,""), "")</f>
        <v/>
      </c>
      <c r="F200" s="36" t="str">
        <f>IFERROR(IF(Prêt_Non_Payé*Valeurs_Entrées,Capital,""), "")</f>
        <v/>
      </c>
      <c r="G200" s="36" t="str">
        <f>IFERROR(IF(Prêt_Non_Payé*Valeurs_Entrées,Intérêts,""), "")</f>
        <v/>
      </c>
      <c r="H200" s="36" t="str">
        <f>IFERROR(IF(Prêt_Non_Payé*Valeurs_Entrées,Solde_Final,""), "")</f>
        <v/>
      </c>
    </row>
    <row r="201" spans="2:10" x14ac:dyDescent="0.25">
      <c r="B201" s="34" t="str">
        <f>IFERROR(IF(Prêt_Non_Payé*Valeurs_Entrées,Numéro_Paiement,""), "")</f>
        <v/>
      </c>
      <c r="C201" s="35" t="str">
        <f>IFERROR(IF(Prêt_Non_Payé*Valeurs_Entrées,Date_Paiement,""), "")</f>
        <v/>
      </c>
      <c r="D201" s="36" t="str">
        <f>IFERROR(IF(Prêt_Non_Payé*Valeurs_Entrées,Solde_Départ,""), "")</f>
        <v/>
      </c>
      <c r="E201" s="36" t="str">
        <f>IFERROR(IF(Prêt_Non_Payé*Valeurs_Entrées,Paiement_Mensuel,""), "")</f>
        <v/>
      </c>
      <c r="F201" s="36" t="str">
        <f>IFERROR(IF(Prêt_Non_Payé*Valeurs_Entrées,Capital,""), "")</f>
        <v/>
      </c>
      <c r="G201" s="36" t="str">
        <f>IFERROR(IF(Prêt_Non_Payé*Valeurs_Entrées,Intérêts,""), "")</f>
        <v/>
      </c>
      <c r="H201" s="36" t="str">
        <f>IFERROR(IF(Prêt_Non_Payé*Valeurs_Entrées,Solde_Final,""), "")</f>
        <v/>
      </c>
    </row>
    <row r="202" spans="2:10" x14ac:dyDescent="0.25">
      <c r="B202" s="34" t="str">
        <f>IFERROR(IF(Prêt_Non_Payé*Valeurs_Entrées,Numéro_Paiement,""), "")</f>
        <v/>
      </c>
      <c r="C202" s="35" t="str">
        <f>IFERROR(IF(Prêt_Non_Payé*Valeurs_Entrées,Date_Paiement,""), "")</f>
        <v/>
      </c>
      <c r="D202" s="36" t="str">
        <f>IFERROR(IF(Prêt_Non_Payé*Valeurs_Entrées,Solde_Départ,""), "")</f>
        <v/>
      </c>
      <c r="E202" s="36" t="str">
        <f>IFERROR(IF(Prêt_Non_Payé*Valeurs_Entrées,Paiement_Mensuel,""), "")</f>
        <v/>
      </c>
      <c r="F202" s="36" t="str">
        <f>IFERROR(IF(Prêt_Non_Payé*Valeurs_Entrées,Capital,""), "")</f>
        <v/>
      </c>
      <c r="G202" s="36" t="str">
        <f>IFERROR(IF(Prêt_Non_Payé*Valeurs_Entrées,Intérêts,""), "")</f>
        <v/>
      </c>
      <c r="H202" s="36" t="str">
        <f>IFERROR(IF(Prêt_Non_Payé*Valeurs_Entrées,Solde_Final,""), "")</f>
        <v/>
      </c>
    </row>
    <row r="203" spans="2:10" x14ac:dyDescent="0.25">
      <c r="B203" s="34" t="str">
        <f>IFERROR(IF(Prêt_Non_Payé*Valeurs_Entrées,Numéro_Paiement,""), "")</f>
        <v/>
      </c>
      <c r="C203" s="35" t="str">
        <f>IFERROR(IF(Prêt_Non_Payé*Valeurs_Entrées,Date_Paiement,""), "")</f>
        <v/>
      </c>
      <c r="D203" s="36" t="str">
        <f>IFERROR(IF(Prêt_Non_Payé*Valeurs_Entrées,Solde_Départ,""), "")</f>
        <v/>
      </c>
      <c r="E203" s="36" t="str">
        <f>IFERROR(IF(Prêt_Non_Payé*Valeurs_Entrées,Paiement_Mensuel,""), "")</f>
        <v/>
      </c>
      <c r="F203" s="36" t="str">
        <f>IFERROR(IF(Prêt_Non_Payé*Valeurs_Entrées,Capital,""), "")</f>
        <v/>
      </c>
      <c r="G203" s="36" t="str">
        <f>IFERROR(IF(Prêt_Non_Payé*Valeurs_Entrées,Intérêts,""), "")</f>
        <v/>
      </c>
      <c r="H203" s="36" t="str">
        <f>IFERROR(IF(Prêt_Non_Payé*Valeurs_Entrées,Solde_Final,""), "")</f>
        <v/>
      </c>
    </row>
    <row r="204" spans="2:10" x14ac:dyDescent="0.25">
      <c r="B204" s="34" t="str">
        <f>IFERROR(IF(Prêt_Non_Payé*Valeurs_Entrées,Numéro_Paiement,""), "")</f>
        <v/>
      </c>
      <c r="C204" s="35" t="str">
        <f>IFERROR(IF(Prêt_Non_Payé*Valeurs_Entrées,Date_Paiement,""), "")</f>
        <v/>
      </c>
      <c r="D204" s="36" t="str">
        <f>IFERROR(IF(Prêt_Non_Payé*Valeurs_Entrées,Solde_Départ,""), "")</f>
        <v/>
      </c>
      <c r="E204" s="36" t="str">
        <f>IFERROR(IF(Prêt_Non_Payé*Valeurs_Entrées,Paiement_Mensuel,""), "")</f>
        <v/>
      </c>
      <c r="F204" s="36" t="str">
        <f>IFERROR(IF(Prêt_Non_Payé*Valeurs_Entrées,Capital,""), "")</f>
        <v/>
      </c>
      <c r="G204" s="36" t="str">
        <f>IFERROR(IF(Prêt_Non_Payé*Valeurs_Entrées,Intérêts,""), "")</f>
        <v/>
      </c>
      <c r="H204" s="36" t="str">
        <f>IFERROR(IF(Prêt_Non_Payé*Valeurs_Entrées,Solde_Final,""), "")</f>
        <v/>
      </c>
    </row>
    <row r="205" spans="2:10" x14ac:dyDescent="0.25">
      <c r="B205" s="34" t="str">
        <f>IFERROR(IF(Prêt_Non_Payé*Valeurs_Entrées,Numéro_Paiement,""), "")</f>
        <v/>
      </c>
      <c r="C205" s="35" t="str">
        <f>IFERROR(IF(Prêt_Non_Payé*Valeurs_Entrées,Date_Paiement,""), "")</f>
        <v/>
      </c>
      <c r="D205" s="36" t="str">
        <f>IFERROR(IF(Prêt_Non_Payé*Valeurs_Entrées,Solde_Départ,""), "")</f>
        <v/>
      </c>
      <c r="E205" s="36" t="str">
        <f>IFERROR(IF(Prêt_Non_Payé*Valeurs_Entrées,Paiement_Mensuel,""), "")</f>
        <v/>
      </c>
      <c r="F205" s="36" t="str">
        <f>IFERROR(IF(Prêt_Non_Payé*Valeurs_Entrées,Capital,""), "")</f>
        <v/>
      </c>
      <c r="G205" s="36" t="str">
        <f>IFERROR(IF(Prêt_Non_Payé*Valeurs_Entrées,Intérêts,""), "")</f>
        <v/>
      </c>
      <c r="H205" s="36" t="str">
        <f>IFERROR(IF(Prêt_Non_Payé*Valeurs_Entrées,Solde_Final,""), "")</f>
        <v/>
      </c>
    </row>
    <row r="206" spans="2:10" x14ac:dyDescent="0.25">
      <c r="B206" s="34" t="str">
        <f>IFERROR(IF(Prêt_Non_Payé*Valeurs_Entrées,Numéro_Paiement,""), "")</f>
        <v/>
      </c>
      <c r="C206" s="35" t="str">
        <f>IFERROR(IF(Prêt_Non_Payé*Valeurs_Entrées,Date_Paiement,""), "")</f>
        <v/>
      </c>
      <c r="D206" s="36" t="str">
        <f>IFERROR(IF(Prêt_Non_Payé*Valeurs_Entrées,Solde_Départ,""), "")</f>
        <v/>
      </c>
      <c r="E206" s="36" t="str">
        <f>IFERROR(IF(Prêt_Non_Payé*Valeurs_Entrées,Paiement_Mensuel,""), "")</f>
        <v/>
      </c>
      <c r="F206" s="36" t="str">
        <f>IFERROR(IF(Prêt_Non_Payé*Valeurs_Entrées,Capital,""), "")</f>
        <v/>
      </c>
      <c r="G206" s="36" t="str">
        <f>IFERROR(IF(Prêt_Non_Payé*Valeurs_Entrées,Intérêts,""), "")</f>
        <v/>
      </c>
      <c r="H206" s="36" t="str">
        <f>IFERROR(IF(Prêt_Non_Payé*Valeurs_Entrées,Solde_Final,""), "")</f>
        <v/>
      </c>
    </row>
    <row r="207" spans="2:10" x14ac:dyDescent="0.25">
      <c r="B207" s="34" t="str">
        <f>IFERROR(IF(Prêt_Non_Payé*Valeurs_Entrées,Numéro_Paiement,""), "")</f>
        <v/>
      </c>
      <c r="C207" s="35" t="str">
        <f>IFERROR(IF(Prêt_Non_Payé*Valeurs_Entrées,Date_Paiement,""), "")</f>
        <v/>
      </c>
      <c r="D207" s="36" t="str">
        <f>IFERROR(IF(Prêt_Non_Payé*Valeurs_Entrées,Solde_Départ,""), "")</f>
        <v/>
      </c>
      <c r="E207" s="36" t="str">
        <f>IFERROR(IF(Prêt_Non_Payé*Valeurs_Entrées,Paiement_Mensuel,""), "")</f>
        <v/>
      </c>
      <c r="F207" s="36" t="str">
        <f>IFERROR(IF(Prêt_Non_Payé*Valeurs_Entrées,Capital,""), "")</f>
        <v/>
      </c>
      <c r="G207" s="36" t="str">
        <f>IFERROR(IF(Prêt_Non_Payé*Valeurs_Entrées,Intérêts,""), "")</f>
        <v/>
      </c>
      <c r="H207" s="36" t="str">
        <f>IFERROR(IF(Prêt_Non_Payé*Valeurs_Entrées,Solde_Final,""), "")</f>
        <v/>
      </c>
    </row>
    <row r="208" spans="2:10" x14ac:dyDescent="0.25">
      <c r="B208" s="34" t="str">
        <f>IFERROR(IF(Prêt_Non_Payé*Valeurs_Entrées,Numéro_Paiement,""), "")</f>
        <v/>
      </c>
      <c r="C208" s="35" t="str">
        <f>IFERROR(IF(Prêt_Non_Payé*Valeurs_Entrées,Date_Paiement,""), "")</f>
        <v/>
      </c>
      <c r="D208" s="36" t="str">
        <f>IFERROR(IF(Prêt_Non_Payé*Valeurs_Entrées,Solde_Départ,""), "")</f>
        <v/>
      </c>
      <c r="E208" s="36" t="str">
        <f>IFERROR(IF(Prêt_Non_Payé*Valeurs_Entrées,Paiement_Mensuel,""), "")</f>
        <v/>
      </c>
      <c r="F208" s="36" t="str">
        <f>IFERROR(IF(Prêt_Non_Payé*Valeurs_Entrées,Capital,""), "")</f>
        <v/>
      </c>
      <c r="G208" s="36" t="str">
        <f>IFERROR(IF(Prêt_Non_Payé*Valeurs_Entrées,Intérêts,""), "")</f>
        <v/>
      </c>
      <c r="H208" s="36" t="str">
        <f>IFERROR(IF(Prêt_Non_Payé*Valeurs_Entrées,Solde_Final,""), "")</f>
        <v/>
      </c>
    </row>
    <row r="209" spans="2:10" x14ac:dyDescent="0.25">
      <c r="B209" s="34" t="str">
        <f>IFERROR(IF(Prêt_Non_Payé*Valeurs_Entrées,Numéro_Paiement,""), "")</f>
        <v/>
      </c>
      <c r="C209" s="35" t="str">
        <f>IFERROR(IF(Prêt_Non_Payé*Valeurs_Entrées,Date_Paiement,""), "")</f>
        <v/>
      </c>
      <c r="D209" s="36" t="str">
        <f>IFERROR(IF(Prêt_Non_Payé*Valeurs_Entrées,Solde_Départ,""), "")</f>
        <v/>
      </c>
      <c r="E209" s="36" t="str">
        <f>IFERROR(IF(Prêt_Non_Payé*Valeurs_Entrées,Paiement_Mensuel,""), "")</f>
        <v/>
      </c>
      <c r="F209" s="36" t="str">
        <f>IFERROR(IF(Prêt_Non_Payé*Valeurs_Entrées,Capital,""), "")</f>
        <v/>
      </c>
      <c r="G209" s="36" t="str">
        <f>IFERROR(IF(Prêt_Non_Payé*Valeurs_Entrées,Intérêts,""), "")</f>
        <v/>
      </c>
      <c r="H209" s="36" t="str">
        <f>IFERROR(IF(Prêt_Non_Payé*Valeurs_Entrées,Solde_Final,""), "")</f>
        <v/>
      </c>
      <c r="J209" s="33">
        <f>IF(SUM(G193:G203)="",0,SUM(G193:G203))</f>
        <v>0</v>
      </c>
    </row>
    <row r="210" spans="2:10" x14ac:dyDescent="0.25">
      <c r="B210" s="34" t="str">
        <f>IFERROR(IF(Prêt_Non_Payé*Valeurs_Entrées,Numéro_Paiement,""), "")</f>
        <v/>
      </c>
      <c r="C210" s="35" t="str">
        <f>IFERROR(IF(Prêt_Non_Payé*Valeurs_Entrées,Date_Paiement,""), "")</f>
        <v/>
      </c>
      <c r="D210" s="36" t="str">
        <f>IFERROR(IF(Prêt_Non_Payé*Valeurs_Entrées,Solde_Départ,""), "")</f>
        <v/>
      </c>
      <c r="E210" s="36" t="str">
        <f>IFERROR(IF(Prêt_Non_Payé*Valeurs_Entrées,Paiement_Mensuel,""), "")</f>
        <v/>
      </c>
      <c r="F210" s="36" t="str">
        <f>IFERROR(IF(Prêt_Non_Payé*Valeurs_Entrées,Capital,""), "")</f>
        <v/>
      </c>
      <c r="G210" s="36" t="str">
        <f>IFERROR(IF(Prêt_Non_Payé*Valeurs_Entrées,Intérêts,""), "")</f>
        <v/>
      </c>
      <c r="H210" s="36" t="str">
        <f>IFERROR(IF(Prêt_Non_Payé*Valeurs_Entrées,Solde_Final,""), "")</f>
        <v/>
      </c>
    </row>
    <row r="211" spans="2:10" x14ac:dyDescent="0.25">
      <c r="B211" s="34" t="str">
        <f>IFERROR(IF(Prêt_Non_Payé*Valeurs_Entrées,Numéro_Paiement,""), "")</f>
        <v/>
      </c>
      <c r="C211" s="35" t="str">
        <f>IFERROR(IF(Prêt_Non_Payé*Valeurs_Entrées,Date_Paiement,""), "")</f>
        <v/>
      </c>
      <c r="D211" s="36" t="str">
        <f>IFERROR(IF(Prêt_Non_Payé*Valeurs_Entrées,Solde_Départ,""), "")</f>
        <v/>
      </c>
      <c r="E211" s="36" t="str">
        <f>IFERROR(IF(Prêt_Non_Payé*Valeurs_Entrées,Paiement_Mensuel,""), "")</f>
        <v/>
      </c>
      <c r="F211" s="36" t="str">
        <f>IFERROR(IF(Prêt_Non_Payé*Valeurs_Entrées,Capital,""), "")</f>
        <v/>
      </c>
      <c r="G211" s="36" t="str">
        <f>IFERROR(IF(Prêt_Non_Payé*Valeurs_Entrées,Intérêts,""), "")</f>
        <v/>
      </c>
      <c r="H211" s="36" t="str">
        <f>IFERROR(IF(Prêt_Non_Payé*Valeurs_Entrées,Solde_Final,""), "")</f>
        <v/>
      </c>
    </row>
    <row r="212" spans="2:10" x14ac:dyDescent="0.25">
      <c r="B212" s="34" t="str">
        <f>IFERROR(IF(Prêt_Non_Payé*Valeurs_Entrées,Numéro_Paiement,""), "")</f>
        <v/>
      </c>
      <c r="C212" s="35" t="str">
        <f>IFERROR(IF(Prêt_Non_Payé*Valeurs_Entrées,Date_Paiement,""), "")</f>
        <v/>
      </c>
      <c r="D212" s="36" t="str">
        <f>IFERROR(IF(Prêt_Non_Payé*Valeurs_Entrées,Solde_Départ,""), "")</f>
        <v/>
      </c>
      <c r="E212" s="36" t="str">
        <f>IFERROR(IF(Prêt_Non_Payé*Valeurs_Entrées,Paiement_Mensuel,""), "")</f>
        <v/>
      </c>
      <c r="F212" s="36" t="str">
        <f>IFERROR(IF(Prêt_Non_Payé*Valeurs_Entrées,Capital,""), "")</f>
        <v/>
      </c>
      <c r="G212" s="36" t="str">
        <f>IFERROR(IF(Prêt_Non_Payé*Valeurs_Entrées,Intérêts,""), "")</f>
        <v/>
      </c>
      <c r="H212" s="36" t="str">
        <f>IFERROR(IF(Prêt_Non_Payé*Valeurs_Entrées,Solde_Final,""), "")</f>
        <v/>
      </c>
    </row>
    <row r="213" spans="2:10" x14ac:dyDescent="0.25">
      <c r="B213" s="34" t="str">
        <f>IFERROR(IF(Prêt_Non_Payé*Valeurs_Entrées,Numéro_Paiement,""), "")</f>
        <v/>
      </c>
      <c r="C213" s="35" t="str">
        <f>IFERROR(IF(Prêt_Non_Payé*Valeurs_Entrées,Date_Paiement,""), "")</f>
        <v/>
      </c>
      <c r="D213" s="36" t="str">
        <f>IFERROR(IF(Prêt_Non_Payé*Valeurs_Entrées,Solde_Départ,""), "")</f>
        <v/>
      </c>
      <c r="E213" s="36" t="str">
        <f>IFERROR(IF(Prêt_Non_Payé*Valeurs_Entrées,Paiement_Mensuel,""), "")</f>
        <v/>
      </c>
      <c r="F213" s="36" t="str">
        <f>IFERROR(IF(Prêt_Non_Payé*Valeurs_Entrées,Capital,""), "")</f>
        <v/>
      </c>
      <c r="G213" s="36" t="str">
        <f>IFERROR(IF(Prêt_Non_Payé*Valeurs_Entrées,Intérêts,""), "")</f>
        <v/>
      </c>
      <c r="H213" s="36" t="str">
        <f>IFERROR(IF(Prêt_Non_Payé*Valeurs_Entrées,Solde_Final,""), "")</f>
        <v/>
      </c>
    </row>
    <row r="214" spans="2:10" x14ac:dyDescent="0.25">
      <c r="B214" s="34" t="str">
        <f>IFERROR(IF(Prêt_Non_Payé*Valeurs_Entrées,Numéro_Paiement,""), "")</f>
        <v/>
      </c>
      <c r="C214" s="35" t="str">
        <f>IFERROR(IF(Prêt_Non_Payé*Valeurs_Entrées,Date_Paiement,""), "")</f>
        <v/>
      </c>
      <c r="D214" s="36" t="str">
        <f>IFERROR(IF(Prêt_Non_Payé*Valeurs_Entrées,Solde_Départ,""), "")</f>
        <v/>
      </c>
      <c r="E214" s="36" t="str">
        <f>IFERROR(IF(Prêt_Non_Payé*Valeurs_Entrées,Paiement_Mensuel,""), "")</f>
        <v/>
      </c>
      <c r="F214" s="36" t="str">
        <f>IFERROR(IF(Prêt_Non_Payé*Valeurs_Entrées,Capital,""), "")</f>
        <v/>
      </c>
      <c r="G214" s="36" t="str">
        <f>IFERROR(IF(Prêt_Non_Payé*Valeurs_Entrées,Intérêts,""), "")</f>
        <v/>
      </c>
      <c r="H214" s="36" t="str">
        <f>IFERROR(IF(Prêt_Non_Payé*Valeurs_Entrées,Solde_Final,""), "")</f>
        <v/>
      </c>
    </row>
    <row r="215" spans="2:10" x14ac:dyDescent="0.25">
      <c r="B215" s="34" t="str">
        <f>IFERROR(IF(Prêt_Non_Payé*Valeurs_Entrées,Numéro_Paiement,""), "")</f>
        <v/>
      </c>
      <c r="C215" s="35" t="str">
        <f>IFERROR(IF(Prêt_Non_Payé*Valeurs_Entrées,Date_Paiement,""), "")</f>
        <v/>
      </c>
      <c r="D215" s="36" t="str">
        <f>IFERROR(IF(Prêt_Non_Payé*Valeurs_Entrées,Solde_Départ,""), "")</f>
        <v/>
      </c>
      <c r="E215" s="36" t="str">
        <f>IFERROR(IF(Prêt_Non_Payé*Valeurs_Entrées,Paiement_Mensuel,""), "")</f>
        <v/>
      </c>
      <c r="F215" s="36" t="str">
        <f>IFERROR(IF(Prêt_Non_Payé*Valeurs_Entrées,Capital,""), "")</f>
        <v/>
      </c>
      <c r="G215" s="36" t="str">
        <f>IFERROR(IF(Prêt_Non_Payé*Valeurs_Entrées,Intérêts,""), "")</f>
        <v/>
      </c>
      <c r="H215" s="36" t="str">
        <f>IFERROR(IF(Prêt_Non_Payé*Valeurs_Entrées,Solde_Final,""), "")</f>
        <v/>
      </c>
    </row>
    <row r="216" spans="2:10" x14ac:dyDescent="0.25">
      <c r="B216" s="34" t="str">
        <f>IFERROR(IF(Prêt_Non_Payé*Valeurs_Entrées,Numéro_Paiement,""), "")</f>
        <v/>
      </c>
      <c r="C216" s="35" t="str">
        <f>IFERROR(IF(Prêt_Non_Payé*Valeurs_Entrées,Date_Paiement,""), "")</f>
        <v/>
      </c>
      <c r="D216" s="36" t="str">
        <f>IFERROR(IF(Prêt_Non_Payé*Valeurs_Entrées,Solde_Départ,""), "")</f>
        <v/>
      </c>
      <c r="E216" s="36" t="str">
        <f>IFERROR(IF(Prêt_Non_Payé*Valeurs_Entrées,Paiement_Mensuel,""), "")</f>
        <v/>
      </c>
      <c r="F216" s="36" t="str">
        <f>IFERROR(IF(Prêt_Non_Payé*Valeurs_Entrées,Capital,""), "")</f>
        <v/>
      </c>
      <c r="G216" s="36" t="str">
        <f>IFERROR(IF(Prêt_Non_Payé*Valeurs_Entrées,Intérêts,""), "")</f>
        <v/>
      </c>
      <c r="H216" s="36" t="str">
        <f>IFERROR(IF(Prêt_Non_Payé*Valeurs_Entrées,Solde_Final,""), "")</f>
        <v/>
      </c>
    </row>
    <row r="217" spans="2:10" x14ac:dyDescent="0.25">
      <c r="B217" s="34" t="str">
        <f>IFERROR(IF(Prêt_Non_Payé*Valeurs_Entrées,Numéro_Paiement,""), "")</f>
        <v/>
      </c>
      <c r="C217" s="35" t="str">
        <f>IFERROR(IF(Prêt_Non_Payé*Valeurs_Entrées,Date_Paiement,""), "")</f>
        <v/>
      </c>
      <c r="D217" s="36" t="str">
        <f>IFERROR(IF(Prêt_Non_Payé*Valeurs_Entrées,Solde_Départ,""), "")</f>
        <v/>
      </c>
      <c r="E217" s="36" t="str">
        <f>IFERROR(IF(Prêt_Non_Payé*Valeurs_Entrées,Paiement_Mensuel,""), "")</f>
        <v/>
      </c>
      <c r="F217" s="36" t="str">
        <f>IFERROR(IF(Prêt_Non_Payé*Valeurs_Entrées,Capital,""), "")</f>
        <v/>
      </c>
      <c r="G217" s="36" t="str">
        <f>IFERROR(IF(Prêt_Non_Payé*Valeurs_Entrées,Intérêts,""), "")</f>
        <v/>
      </c>
      <c r="H217" s="36" t="str">
        <f>IFERROR(IF(Prêt_Non_Payé*Valeurs_Entrées,Solde_Final,""), "")</f>
        <v/>
      </c>
    </row>
    <row r="218" spans="2:10" x14ac:dyDescent="0.25">
      <c r="B218" s="34" t="str">
        <f>IFERROR(IF(Prêt_Non_Payé*Valeurs_Entrées,Numéro_Paiement,""), "")</f>
        <v/>
      </c>
      <c r="C218" s="35" t="str">
        <f>IFERROR(IF(Prêt_Non_Payé*Valeurs_Entrées,Date_Paiement,""), "")</f>
        <v/>
      </c>
      <c r="D218" s="36" t="str">
        <f>IFERROR(IF(Prêt_Non_Payé*Valeurs_Entrées,Solde_Départ,""), "")</f>
        <v/>
      </c>
      <c r="E218" s="36" t="str">
        <f>IFERROR(IF(Prêt_Non_Payé*Valeurs_Entrées,Paiement_Mensuel,""), "")</f>
        <v/>
      </c>
      <c r="F218" s="36" t="str">
        <f>IFERROR(IF(Prêt_Non_Payé*Valeurs_Entrées,Capital,""), "")</f>
        <v/>
      </c>
      <c r="G218" s="36" t="str">
        <f>IFERROR(IF(Prêt_Non_Payé*Valeurs_Entrées,Intérêts,""), "")</f>
        <v/>
      </c>
      <c r="H218" s="36" t="str">
        <f>IFERROR(IF(Prêt_Non_Payé*Valeurs_Entrées,Solde_Final,""), "")</f>
        <v/>
      </c>
    </row>
    <row r="219" spans="2:10" x14ac:dyDescent="0.25">
      <c r="B219" s="34" t="str">
        <f>IFERROR(IF(Prêt_Non_Payé*Valeurs_Entrées,Numéro_Paiement,""), "")</f>
        <v/>
      </c>
      <c r="C219" s="35" t="str">
        <f>IFERROR(IF(Prêt_Non_Payé*Valeurs_Entrées,Date_Paiement,""), "")</f>
        <v/>
      </c>
      <c r="D219" s="36" t="str">
        <f>IFERROR(IF(Prêt_Non_Payé*Valeurs_Entrées,Solde_Départ,""), "")</f>
        <v/>
      </c>
      <c r="E219" s="36" t="str">
        <f>IFERROR(IF(Prêt_Non_Payé*Valeurs_Entrées,Paiement_Mensuel,""), "")</f>
        <v/>
      </c>
      <c r="F219" s="36" t="str">
        <f>IFERROR(IF(Prêt_Non_Payé*Valeurs_Entrées,Capital,""), "")</f>
        <v/>
      </c>
      <c r="G219" s="36" t="str">
        <f>IFERROR(IF(Prêt_Non_Payé*Valeurs_Entrées,Intérêts,""), "")</f>
        <v/>
      </c>
      <c r="H219" s="36" t="str">
        <f>IFERROR(IF(Prêt_Non_Payé*Valeurs_Entrées,Solde_Final,""), "")</f>
        <v/>
      </c>
    </row>
    <row r="220" spans="2:10" x14ac:dyDescent="0.25">
      <c r="B220" s="34" t="str">
        <f>IFERROR(IF(Prêt_Non_Payé*Valeurs_Entrées,Numéro_Paiement,""), "")</f>
        <v/>
      </c>
      <c r="C220" s="35" t="str">
        <f>IFERROR(IF(Prêt_Non_Payé*Valeurs_Entrées,Date_Paiement,""), "")</f>
        <v/>
      </c>
      <c r="D220" s="36" t="str">
        <f>IFERROR(IF(Prêt_Non_Payé*Valeurs_Entrées,Solde_Départ,""), "")</f>
        <v/>
      </c>
      <c r="E220" s="36" t="str">
        <f>IFERROR(IF(Prêt_Non_Payé*Valeurs_Entrées,Paiement_Mensuel,""), "")</f>
        <v/>
      </c>
      <c r="F220" s="36" t="str">
        <f>IFERROR(IF(Prêt_Non_Payé*Valeurs_Entrées,Capital,""), "")</f>
        <v/>
      </c>
      <c r="G220" s="36" t="str">
        <f>IFERROR(IF(Prêt_Non_Payé*Valeurs_Entrées,Intérêts,""), "")</f>
        <v/>
      </c>
      <c r="H220" s="36" t="str">
        <f>IFERROR(IF(Prêt_Non_Payé*Valeurs_Entrées,Solde_Final,""), "")</f>
        <v/>
      </c>
    </row>
    <row r="221" spans="2:10" x14ac:dyDescent="0.25">
      <c r="B221" s="34" t="str">
        <f>IFERROR(IF(Prêt_Non_Payé*Valeurs_Entrées,Numéro_Paiement,""), "")</f>
        <v/>
      </c>
      <c r="C221" s="35" t="str">
        <f>IFERROR(IF(Prêt_Non_Payé*Valeurs_Entrées,Date_Paiement,""), "")</f>
        <v/>
      </c>
      <c r="D221" s="36" t="str">
        <f>IFERROR(IF(Prêt_Non_Payé*Valeurs_Entrées,Solde_Départ,""), "")</f>
        <v/>
      </c>
      <c r="E221" s="36" t="str">
        <f>IFERROR(IF(Prêt_Non_Payé*Valeurs_Entrées,Paiement_Mensuel,""), "")</f>
        <v/>
      </c>
      <c r="F221" s="36" t="str">
        <f>IFERROR(IF(Prêt_Non_Payé*Valeurs_Entrées,Capital,""), "")</f>
        <v/>
      </c>
      <c r="G221" s="36" t="str">
        <f>IFERROR(IF(Prêt_Non_Payé*Valeurs_Entrées,Intérêts,""), "")</f>
        <v/>
      </c>
      <c r="H221" s="36" t="str">
        <f>IFERROR(IF(Prêt_Non_Payé*Valeurs_Entrées,Solde_Final,""), "")</f>
        <v/>
      </c>
      <c r="J221" s="33">
        <f>IF(SUM(G205:G215)="",0,SUM(G205:G215))</f>
        <v>0</v>
      </c>
    </row>
    <row r="222" spans="2:10" x14ac:dyDescent="0.25">
      <c r="B222" s="34" t="str">
        <f>IFERROR(IF(Prêt_Non_Payé*Valeurs_Entrées,Numéro_Paiement,""), "")</f>
        <v/>
      </c>
      <c r="C222" s="35" t="str">
        <f>IFERROR(IF(Prêt_Non_Payé*Valeurs_Entrées,Date_Paiement,""), "")</f>
        <v/>
      </c>
      <c r="D222" s="36" t="str">
        <f>IFERROR(IF(Prêt_Non_Payé*Valeurs_Entrées,Solde_Départ,""), "")</f>
        <v/>
      </c>
      <c r="E222" s="36" t="str">
        <f>IFERROR(IF(Prêt_Non_Payé*Valeurs_Entrées,Paiement_Mensuel,""), "")</f>
        <v/>
      </c>
      <c r="F222" s="36" t="str">
        <f>IFERROR(IF(Prêt_Non_Payé*Valeurs_Entrées,Capital,""), "")</f>
        <v/>
      </c>
      <c r="G222" s="36" t="str">
        <f>IFERROR(IF(Prêt_Non_Payé*Valeurs_Entrées,Intérêts,""), "")</f>
        <v/>
      </c>
      <c r="H222" s="36" t="str">
        <f>IFERROR(IF(Prêt_Non_Payé*Valeurs_Entrées,Solde_Final,""), "")</f>
        <v/>
      </c>
    </row>
    <row r="223" spans="2:10" x14ac:dyDescent="0.25">
      <c r="B223" s="34" t="str">
        <f>IFERROR(IF(Prêt_Non_Payé*Valeurs_Entrées,Numéro_Paiement,""), "")</f>
        <v/>
      </c>
      <c r="C223" s="35" t="str">
        <f>IFERROR(IF(Prêt_Non_Payé*Valeurs_Entrées,Date_Paiement,""), "")</f>
        <v/>
      </c>
      <c r="D223" s="36" t="str">
        <f>IFERROR(IF(Prêt_Non_Payé*Valeurs_Entrées,Solde_Départ,""), "")</f>
        <v/>
      </c>
      <c r="E223" s="36" t="str">
        <f>IFERROR(IF(Prêt_Non_Payé*Valeurs_Entrées,Paiement_Mensuel,""), "")</f>
        <v/>
      </c>
      <c r="F223" s="36" t="str">
        <f>IFERROR(IF(Prêt_Non_Payé*Valeurs_Entrées,Capital,""), "")</f>
        <v/>
      </c>
      <c r="G223" s="36" t="str">
        <f>IFERROR(IF(Prêt_Non_Payé*Valeurs_Entrées,Intérêts,""), "")</f>
        <v/>
      </c>
      <c r="H223" s="36" t="str">
        <f>IFERROR(IF(Prêt_Non_Payé*Valeurs_Entrées,Solde_Final,""), "")</f>
        <v/>
      </c>
    </row>
    <row r="224" spans="2:10" x14ac:dyDescent="0.25">
      <c r="B224" s="34" t="str">
        <f>IFERROR(IF(Prêt_Non_Payé*Valeurs_Entrées,Numéro_Paiement,""), "")</f>
        <v/>
      </c>
      <c r="C224" s="35" t="str">
        <f>IFERROR(IF(Prêt_Non_Payé*Valeurs_Entrées,Date_Paiement,""), "")</f>
        <v/>
      </c>
      <c r="D224" s="36" t="str">
        <f>IFERROR(IF(Prêt_Non_Payé*Valeurs_Entrées,Solde_Départ,""), "")</f>
        <v/>
      </c>
      <c r="E224" s="36" t="str">
        <f>IFERROR(IF(Prêt_Non_Payé*Valeurs_Entrées,Paiement_Mensuel,""), "")</f>
        <v/>
      </c>
      <c r="F224" s="36" t="str">
        <f>IFERROR(IF(Prêt_Non_Payé*Valeurs_Entrées,Capital,""), "")</f>
        <v/>
      </c>
      <c r="G224" s="36" t="str">
        <f>IFERROR(IF(Prêt_Non_Payé*Valeurs_Entrées,Intérêts,""), "")</f>
        <v/>
      </c>
      <c r="H224" s="36" t="str">
        <f>IFERROR(IF(Prêt_Non_Payé*Valeurs_Entrées,Solde_Final,""), "")</f>
        <v/>
      </c>
    </row>
    <row r="225" spans="2:10" x14ac:dyDescent="0.25">
      <c r="B225" s="34" t="str">
        <f>IFERROR(IF(Prêt_Non_Payé*Valeurs_Entrées,Numéro_Paiement,""), "")</f>
        <v/>
      </c>
      <c r="C225" s="35" t="str">
        <f>IFERROR(IF(Prêt_Non_Payé*Valeurs_Entrées,Date_Paiement,""), "")</f>
        <v/>
      </c>
      <c r="D225" s="36" t="str">
        <f>IFERROR(IF(Prêt_Non_Payé*Valeurs_Entrées,Solde_Départ,""), "")</f>
        <v/>
      </c>
      <c r="E225" s="36" t="str">
        <f>IFERROR(IF(Prêt_Non_Payé*Valeurs_Entrées,Paiement_Mensuel,""), "")</f>
        <v/>
      </c>
      <c r="F225" s="36" t="str">
        <f>IFERROR(IF(Prêt_Non_Payé*Valeurs_Entrées,Capital,""), "")</f>
        <v/>
      </c>
      <c r="G225" s="36" t="str">
        <f>IFERROR(IF(Prêt_Non_Payé*Valeurs_Entrées,Intérêts,""), "")</f>
        <v/>
      </c>
      <c r="H225" s="36" t="str">
        <f>IFERROR(IF(Prêt_Non_Payé*Valeurs_Entrées,Solde_Final,""), "")</f>
        <v/>
      </c>
    </row>
    <row r="226" spans="2:10" x14ac:dyDescent="0.25">
      <c r="B226" s="34" t="str">
        <f>IFERROR(IF(Prêt_Non_Payé*Valeurs_Entrées,Numéro_Paiement,""), "")</f>
        <v/>
      </c>
      <c r="C226" s="35" t="str">
        <f>IFERROR(IF(Prêt_Non_Payé*Valeurs_Entrées,Date_Paiement,""), "")</f>
        <v/>
      </c>
      <c r="D226" s="36" t="str">
        <f>IFERROR(IF(Prêt_Non_Payé*Valeurs_Entrées,Solde_Départ,""), "")</f>
        <v/>
      </c>
      <c r="E226" s="36" t="str">
        <f>IFERROR(IF(Prêt_Non_Payé*Valeurs_Entrées,Paiement_Mensuel,""), "")</f>
        <v/>
      </c>
      <c r="F226" s="36" t="str">
        <f>IFERROR(IF(Prêt_Non_Payé*Valeurs_Entrées,Capital,""), "")</f>
        <v/>
      </c>
      <c r="G226" s="36" t="str">
        <f>IFERROR(IF(Prêt_Non_Payé*Valeurs_Entrées,Intérêts,""), "")</f>
        <v/>
      </c>
      <c r="H226" s="36" t="str">
        <f>IFERROR(IF(Prêt_Non_Payé*Valeurs_Entrées,Solde_Final,""), "")</f>
        <v/>
      </c>
    </row>
    <row r="227" spans="2:10" x14ac:dyDescent="0.25">
      <c r="B227" s="34" t="str">
        <f>IFERROR(IF(Prêt_Non_Payé*Valeurs_Entrées,Numéro_Paiement,""), "")</f>
        <v/>
      </c>
      <c r="C227" s="35" t="str">
        <f>IFERROR(IF(Prêt_Non_Payé*Valeurs_Entrées,Date_Paiement,""), "")</f>
        <v/>
      </c>
      <c r="D227" s="36" t="str">
        <f>IFERROR(IF(Prêt_Non_Payé*Valeurs_Entrées,Solde_Départ,""), "")</f>
        <v/>
      </c>
      <c r="E227" s="36" t="str">
        <f>IFERROR(IF(Prêt_Non_Payé*Valeurs_Entrées,Paiement_Mensuel,""), "")</f>
        <v/>
      </c>
      <c r="F227" s="36" t="str">
        <f>IFERROR(IF(Prêt_Non_Payé*Valeurs_Entrées,Capital,""), "")</f>
        <v/>
      </c>
      <c r="G227" s="36" t="str">
        <f>IFERROR(IF(Prêt_Non_Payé*Valeurs_Entrées,Intérêts,""), "")</f>
        <v/>
      </c>
      <c r="H227" s="36" t="str">
        <f>IFERROR(IF(Prêt_Non_Payé*Valeurs_Entrées,Solde_Final,""), "")</f>
        <v/>
      </c>
    </row>
    <row r="228" spans="2:10" x14ac:dyDescent="0.25">
      <c r="B228" s="34" t="str">
        <f>IFERROR(IF(Prêt_Non_Payé*Valeurs_Entrées,Numéro_Paiement,""), "")</f>
        <v/>
      </c>
      <c r="C228" s="35" t="str">
        <f>IFERROR(IF(Prêt_Non_Payé*Valeurs_Entrées,Date_Paiement,""), "")</f>
        <v/>
      </c>
      <c r="D228" s="36" t="str">
        <f>IFERROR(IF(Prêt_Non_Payé*Valeurs_Entrées,Solde_Départ,""), "")</f>
        <v/>
      </c>
      <c r="E228" s="36" t="str">
        <f>IFERROR(IF(Prêt_Non_Payé*Valeurs_Entrées,Paiement_Mensuel,""), "")</f>
        <v/>
      </c>
      <c r="F228" s="36" t="str">
        <f>IFERROR(IF(Prêt_Non_Payé*Valeurs_Entrées,Capital,""), "")</f>
        <v/>
      </c>
      <c r="G228" s="36" t="str">
        <f>IFERROR(IF(Prêt_Non_Payé*Valeurs_Entrées,Intérêts,""), "")</f>
        <v/>
      </c>
      <c r="H228" s="36" t="str">
        <f>IFERROR(IF(Prêt_Non_Payé*Valeurs_Entrées,Solde_Final,""), "")</f>
        <v/>
      </c>
    </row>
    <row r="229" spans="2:10" x14ac:dyDescent="0.25">
      <c r="B229" s="34" t="str">
        <f>IFERROR(IF(Prêt_Non_Payé*Valeurs_Entrées,Numéro_Paiement,""), "")</f>
        <v/>
      </c>
      <c r="C229" s="35" t="str">
        <f>IFERROR(IF(Prêt_Non_Payé*Valeurs_Entrées,Date_Paiement,""), "")</f>
        <v/>
      </c>
      <c r="D229" s="36" t="str">
        <f>IFERROR(IF(Prêt_Non_Payé*Valeurs_Entrées,Solde_Départ,""), "")</f>
        <v/>
      </c>
      <c r="E229" s="36" t="str">
        <f>IFERROR(IF(Prêt_Non_Payé*Valeurs_Entrées,Paiement_Mensuel,""), "")</f>
        <v/>
      </c>
      <c r="F229" s="36" t="str">
        <f>IFERROR(IF(Prêt_Non_Payé*Valeurs_Entrées,Capital,""), "")</f>
        <v/>
      </c>
      <c r="G229" s="36" t="str">
        <f>IFERROR(IF(Prêt_Non_Payé*Valeurs_Entrées,Intérêts,""), "")</f>
        <v/>
      </c>
      <c r="H229" s="36" t="str">
        <f>IFERROR(IF(Prêt_Non_Payé*Valeurs_Entrées,Solde_Final,""), "")</f>
        <v/>
      </c>
    </row>
    <row r="230" spans="2:10" x14ac:dyDescent="0.25">
      <c r="B230" s="34" t="str">
        <f>IFERROR(IF(Prêt_Non_Payé*Valeurs_Entrées,Numéro_Paiement,""), "")</f>
        <v/>
      </c>
      <c r="C230" s="35" t="str">
        <f>IFERROR(IF(Prêt_Non_Payé*Valeurs_Entrées,Date_Paiement,""), "")</f>
        <v/>
      </c>
      <c r="D230" s="36" t="str">
        <f>IFERROR(IF(Prêt_Non_Payé*Valeurs_Entrées,Solde_Départ,""), "")</f>
        <v/>
      </c>
      <c r="E230" s="36" t="str">
        <f>IFERROR(IF(Prêt_Non_Payé*Valeurs_Entrées,Paiement_Mensuel,""), "")</f>
        <v/>
      </c>
      <c r="F230" s="36" t="str">
        <f>IFERROR(IF(Prêt_Non_Payé*Valeurs_Entrées,Capital,""), "")</f>
        <v/>
      </c>
      <c r="G230" s="36" t="str">
        <f>IFERROR(IF(Prêt_Non_Payé*Valeurs_Entrées,Intérêts,""), "")</f>
        <v/>
      </c>
      <c r="H230" s="36" t="str">
        <f>IFERROR(IF(Prêt_Non_Payé*Valeurs_Entrées,Solde_Final,""), "")</f>
        <v/>
      </c>
    </row>
    <row r="231" spans="2:10" x14ac:dyDescent="0.25">
      <c r="B231" s="34" t="str">
        <f>IFERROR(IF(Prêt_Non_Payé*Valeurs_Entrées,Numéro_Paiement,""), "")</f>
        <v/>
      </c>
      <c r="C231" s="35" t="str">
        <f>IFERROR(IF(Prêt_Non_Payé*Valeurs_Entrées,Date_Paiement,""), "")</f>
        <v/>
      </c>
      <c r="D231" s="36" t="str">
        <f>IFERROR(IF(Prêt_Non_Payé*Valeurs_Entrées,Solde_Départ,""), "")</f>
        <v/>
      </c>
      <c r="E231" s="36" t="str">
        <f>IFERROR(IF(Prêt_Non_Payé*Valeurs_Entrées,Paiement_Mensuel,""), "")</f>
        <v/>
      </c>
      <c r="F231" s="36" t="str">
        <f>IFERROR(IF(Prêt_Non_Payé*Valeurs_Entrées,Capital,""), "")</f>
        <v/>
      </c>
      <c r="G231" s="36" t="str">
        <f>IFERROR(IF(Prêt_Non_Payé*Valeurs_Entrées,Intérêts,""), "")</f>
        <v/>
      </c>
      <c r="H231" s="36" t="str">
        <f>IFERROR(IF(Prêt_Non_Payé*Valeurs_Entrées,Solde_Final,""), "")</f>
        <v/>
      </c>
    </row>
    <row r="232" spans="2:10" x14ac:dyDescent="0.25">
      <c r="B232" s="34" t="str">
        <f>IFERROR(IF(Prêt_Non_Payé*Valeurs_Entrées,Numéro_Paiement,""), "")</f>
        <v/>
      </c>
      <c r="C232" s="35" t="str">
        <f>IFERROR(IF(Prêt_Non_Payé*Valeurs_Entrées,Date_Paiement,""), "")</f>
        <v/>
      </c>
      <c r="D232" s="36" t="str">
        <f>IFERROR(IF(Prêt_Non_Payé*Valeurs_Entrées,Solde_Départ,""), "")</f>
        <v/>
      </c>
      <c r="E232" s="36" t="str">
        <f>IFERROR(IF(Prêt_Non_Payé*Valeurs_Entrées,Paiement_Mensuel,""), "")</f>
        <v/>
      </c>
      <c r="F232" s="36" t="str">
        <f>IFERROR(IF(Prêt_Non_Payé*Valeurs_Entrées,Capital,""), "")</f>
        <v/>
      </c>
      <c r="G232" s="36" t="str">
        <f>IFERROR(IF(Prêt_Non_Payé*Valeurs_Entrées,Intérêts,""), "")</f>
        <v/>
      </c>
      <c r="H232" s="36" t="str">
        <f>IFERROR(IF(Prêt_Non_Payé*Valeurs_Entrées,Solde_Final,""), "")</f>
        <v/>
      </c>
    </row>
    <row r="233" spans="2:10" x14ac:dyDescent="0.25">
      <c r="B233" s="34" t="str">
        <f>IFERROR(IF(Prêt_Non_Payé*Valeurs_Entrées,Numéro_Paiement,""), "")</f>
        <v/>
      </c>
      <c r="C233" s="35" t="str">
        <f>IFERROR(IF(Prêt_Non_Payé*Valeurs_Entrées,Date_Paiement,""), "")</f>
        <v/>
      </c>
      <c r="D233" s="36" t="str">
        <f>IFERROR(IF(Prêt_Non_Payé*Valeurs_Entrées,Solde_Départ,""), "")</f>
        <v/>
      </c>
      <c r="E233" s="36" t="str">
        <f>IFERROR(IF(Prêt_Non_Payé*Valeurs_Entrées,Paiement_Mensuel,""), "")</f>
        <v/>
      </c>
      <c r="F233" s="36" t="str">
        <f>IFERROR(IF(Prêt_Non_Payé*Valeurs_Entrées,Capital,""), "")</f>
        <v/>
      </c>
      <c r="G233" s="36" t="str">
        <f>IFERROR(IF(Prêt_Non_Payé*Valeurs_Entrées,Intérêts,""), "")</f>
        <v/>
      </c>
      <c r="H233" s="36" t="str">
        <f>IFERROR(IF(Prêt_Non_Payé*Valeurs_Entrées,Solde_Final,""), "")</f>
        <v/>
      </c>
      <c r="J233" s="33">
        <f>IF(SUM(G217:G227)="",0,SUM(G217:G227))</f>
        <v>0</v>
      </c>
    </row>
    <row r="234" spans="2:10" x14ac:dyDescent="0.25">
      <c r="B234" s="34" t="str">
        <f>IFERROR(IF(Prêt_Non_Payé*Valeurs_Entrées,Numéro_Paiement,""), "")</f>
        <v/>
      </c>
      <c r="C234" s="35" t="str">
        <f>IFERROR(IF(Prêt_Non_Payé*Valeurs_Entrées,Date_Paiement,""), "")</f>
        <v/>
      </c>
      <c r="D234" s="36" t="str">
        <f>IFERROR(IF(Prêt_Non_Payé*Valeurs_Entrées,Solde_Départ,""), "")</f>
        <v/>
      </c>
      <c r="E234" s="36" t="str">
        <f>IFERROR(IF(Prêt_Non_Payé*Valeurs_Entrées,Paiement_Mensuel,""), "")</f>
        <v/>
      </c>
      <c r="F234" s="36" t="str">
        <f>IFERROR(IF(Prêt_Non_Payé*Valeurs_Entrées,Capital,""), "")</f>
        <v/>
      </c>
      <c r="G234" s="36" t="str">
        <f>IFERROR(IF(Prêt_Non_Payé*Valeurs_Entrées,Intérêts,""), "")</f>
        <v/>
      </c>
      <c r="H234" s="36" t="str">
        <f>IFERROR(IF(Prêt_Non_Payé*Valeurs_Entrées,Solde_Final,""), "")</f>
        <v/>
      </c>
    </row>
    <row r="235" spans="2:10" x14ac:dyDescent="0.25">
      <c r="B235" s="34" t="str">
        <f>IFERROR(IF(Prêt_Non_Payé*Valeurs_Entrées,Numéro_Paiement,""), "")</f>
        <v/>
      </c>
      <c r="C235" s="35" t="str">
        <f>IFERROR(IF(Prêt_Non_Payé*Valeurs_Entrées,Date_Paiement,""), "")</f>
        <v/>
      </c>
      <c r="D235" s="36" t="str">
        <f>IFERROR(IF(Prêt_Non_Payé*Valeurs_Entrées,Solde_Départ,""), "")</f>
        <v/>
      </c>
      <c r="E235" s="36" t="str">
        <f>IFERROR(IF(Prêt_Non_Payé*Valeurs_Entrées,Paiement_Mensuel,""), "")</f>
        <v/>
      </c>
      <c r="F235" s="36" t="str">
        <f>IFERROR(IF(Prêt_Non_Payé*Valeurs_Entrées,Capital,""), "")</f>
        <v/>
      </c>
      <c r="G235" s="36" t="str">
        <f>IFERROR(IF(Prêt_Non_Payé*Valeurs_Entrées,Intérêts,""), "")</f>
        <v/>
      </c>
      <c r="H235" s="36" t="str">
        <f>IFERROR(IF(Prêt_Non_Payé*Valeurs_Entrées,Solde_Final,""), "")</f>
        <v/>
      </c>
    </row>
    <row r="236" spans="2:10" x14ac:dyDescent="0.25">
      <c r="B236" s="34" t="str">
        <f>IFERROR(IF(Prêt_Non_Payé*Valeurs_Entrées,Numéro_Paiement,""), "")</f>
        <v/>
      </c>
      <c r="C236" s="35" t="str">
        <f>IFERROR(IF(Prêt_Non_Payé*Valeurs_Entrées,Date_Paiement,""), "")</f>
        <v/>
      </c>
      <c r="D236" s="36" t="str">
        <f>IFERROR(IF(Prêt_Non_Payé*Valeurs_Entrées,Solde_Départ,""), "")</f>
        <v/>
      </c>
      <c r="E236" s="36" t="str">
        <f>IFERROR(IF(Prêt_Non_Payé*Valeurs_Entrées,Paiement_Mensuel,""), "")</f>
        <v/>
      </c>
      <c r="F236" s="36" t="str">
        <f>IFERROR(IF(Prêt_Non_Payé*Valeurs_Entrées,Capital,""), "")</f>
        <v/>
      </c>
      <c r="G236" s="36" t="str">
        <f>IFERROR(IF(Prêt_Non_Payé*Valeurs_Entrées,Intérêts,""), "")</f>
        <v/>
      </c>
      <c r="H236" s="36" t="str">
        <f>IFERROR(IF(Prêt_Non_Payé*Valeurs_Entrées,Solde_Final,""), "")</f>
        <v/>
      </c>
    </row>
    <row r="237" spans="2:10" x14ac:dyDescent="0.25">
      <c r="B237" s="34" t="str">
        <f>IFERROR(IF(Prêt_Non_Payé*Valeurs_Entrées,Numéro_Paiement,""), "")</f>
        <v/>
      </c>
      <c r="C237" s="35" t="str">
        <f>IFERROR(IF(Prêt_Non_Payé*Valeurs_Entrées,Date_Paiement,""), "")</f>
        <v/>
      </c>
      <c r="D237" s="36" t="str">
        <f>IFERROR(IF(Prêt_Non_Payé*Valeurs_Entrées,Solde_Départ,""), "")</f>
        <v/>
      </c>
      <c r="E237" s="36" t="str">
        <f>IFERROR(IF(Prêt_Non_Payé*Valeurs_Entrées,Paiement_Mensuel,""), "")</f>
        <v/>
      </c>
      <c r="F237" s="36" t="str">
        <f>IFERROR(IF(Prêt_Non_Payé*Valeurs_Entrées,Capital,""), "")</f>
        <v/>
      </c>
      <c r="G237" s="36" t="str">
        <f>IFERROR(IF(Prêt_Non_Payé*Valeurs_Entrées,Intérêts,""), "")</f>
        <v/>
      </c>
      <c r="H237" s="36" t="str">
        <f>IFERROR(IF(Prêt_Non_Payé*Valeurs_Entrées,Solde_Final,""), "")</f>
        <v/>
      </c>
    </row>
    <row r="238" spans="2:10" x14ac:dyDescent="0.25">
      <c r="B238" s="34" t="str">
        <f>IFERROR(IF(Prêt_Non_Payé*Valeurs_Entrées,Numéro_Paiement,""), "")</f>
        <v/>
      </c>
      <c r="C238" s="35" t="str">
        <f>IFERROR(IF(Prêt_Non_Payé*Valeurs_Entrées,Date_Paiement,""), "")</f>
        <v/>
      </c>
      <c r="D238" s="36" t="str">
        <f>IFERROR(IF(Prêt_Non_Payé*Valeurs_Entrées,Solde_Départ,""), "")</f>
        <v/>
      </c>
      <c r="E238" s="36" t="str">
        <f>IFERROR(IF(Prêt_Non_Payé*Valeurs_Entrées,Paiement_Mensuel,""), "")</f>
        <v/>
      </c>
      <c r="F238" s="36" t="str">
        <f>IFERROR(IF(Prêt_Non_Payé*Valeurs_Entrées,Capital,""), "")</f>
        <v/>
      </c>
      <c r="G238" s="36" t="str">
        <f>IFERROR(IF(Prêt_Non_Payé*Valeurs_Entrées,Intérêts,""), "")</f>
        <v/>
      </c>
      <c r="H238" s="36" t="str">
        <f>IFERROR(IF(Prêt_Non_Payé*Valeurs_Entrées,Solde_Final,""), "")</f>
        <v/>
      </c>
    </row>
    <row r="239" spans="2:10" x14ac:dyDescent="0.25">
      <c r="B239" s="34" t="str">
        <f>IFERROR(IF(Prêt_Non_Payé*Valeurs_Entrées,Numéro_Paiement,""), "")</f>
        <v/>
      </c>
      <c r="C239" s="35" t="str">
        <f>IFERROR(IF(Prêt_Non_Payé*Valeurs_Entrées,Date_Paiement,""), "")</f>
        <v/>
      </c>
      <c r="D239" s="36" t="str">
        <f>IFERROR(IF(Prêt_Non_Payé*Valeurs_Entrées,Solde_Départ,""), "")</f>
        <v/>
      </c>
      <c r="E239" s="36" t="str">
        <f>IFERROR(IF(Prêt_Non_Payé*Valeurs_Entrées,Paiement_Mensuel,""), "")</f>
        <v/>
      </c>
      <c r="F239" s="36" t="str">
        <f>IFERROR(IF(Prêt_Non_Payé*Valeurs_Entrées,Capital,""), "")</f>
        <v/>
      </c>
      <c r="G239" s="36" t="str">
        <f>IFERROR(IF(Prêt_Non_Payé*Valeurs_Entrées,Intérêts,""), "")</f>
        <v/>
      </c>
      <c r="H239" s="36" t="str">
        <f>IFERROR(IF(Prêt_Non_Payé*Valeurs_Entrées,Solde_Final,""), "")</f>
        <v/>
      </c>
    </row>
    <row r="240" spans="2:10" x14ac:dyDescent="0.25">
      <c r="B240" s="34" t="str">
        <f>IFERROR(IF(Prêt_Non_Payé*Valeurs_Entrées,Numéro_Paiement,""), "")</f>
        <v/>
      </c>
      <c r="C240" s="35" t="str">
        <f>IFERROR(IF(Prêt_Non_Payé*Valeurs_Entrées,Date_Paiement,""), "")</f>
        <v/>
      </c>
      <c r="D240" s="36" t="str">
        <f>IFERROR(IF(Prêt_Non_Payé*Valeurs_Entrées,Solde_Départ,""), "")</f>
        <v/>
      </c>
      <c r="E240" s="36" t="str">
        <f>IFERROR(IF(Prêt_Non_Payé*Valeurs_Entrées,Paiement_Mensuel,""), "")</f>
        <v/>
      </c>
      <c r="F240" s="36" t="str">
        <f>IFERROR(IF(Prêt_Non_Payé*Valeurs_Entrées,Capital,""), "")</f>
        <v/>
      </c>
      <c r="G240" s="36" t="str">
        <f>IFERROR(IF(Prêt_Non_Payé*Valeurs_Entrées,Intérêts,""), "")</f>
        <v/>
      </c>
      <c r="H240" s="36" t="str">
        <f>IFERROR(IF(Prêt_Non_Payé*Valeurs_Entrées,Solde_Final,""), "")</f>
        <v/>
      </c>
    </row>
    <row r="241" spans="2:10" x14ac:dyDescent="0.25">
      <c r="B241" s="34" t="str">
        <f>IFERROR(IF(Prêt_Non_Payé*Valeurs_Entrées,Numéro_Paiement,""), "")</f>
        <v/>
      </c>
      <c r="C241" s="35" t="str">
        <f>IFERROR(IF(Prêt_Non_Payé*Valeurs_Entrées,Date_Paiement,""), "")</f>
        <v/>
      </c>
      <c r="D241" s="36" t="str">
        <f>IFERROR(IF(Prêt_Non_Payé*Valeurs_Entrées,Solde_Départ,""), "")</f>
        <v/>
      </c>
      <c r="E241" s="36" t="str">
        <f>IFERROR(IF(Prêt_Non_Payé*Valeurs_Entrées,Paiement_Mensuel,""), "")</f>
        <v/>
      </c>
      <c r="F241" s="36" t="str">
        <f>IFERROR(IF(Prêt_Non_Payé*Valeurs_Entrées,Capital,""), "")</f>
        <v/>
      </c>
      <c r="G241" s="36" t="str">
        <f>IFERROR(IF(Prêt_Non_Payé*Valeurs_Entrées,Intérêts,""), "")</f>
        <v/>
      </c>
      <c r="H241" s="36" t="str">
        <f>IFERROR(IF(Prêt_Non_Payé*Valeurs_Entrées,Solde_Final,""), "")</f>
        <v/>
      </c>
    </row>
    <row r="242" spans="2:10" x14ac:dyDescent="0.25">
      <c r="B242" s="34" t="str">
        <f>IFERROR(IF(Prêt_Non_Payé*Valeurs_Entrées,Numéro_Paiement,""), "")</f>
        <v/>
      </c>
      <c r="C242" s="35" t="str">
        <f>IFERROR(IF(Prêt_Non_Payé*Valeurs_Entrées,Date_Paiement,""), "")</f>
        <v/>
      </c>
      <c r="D242" s="36" t="str">
        <f>IFERROR(IF(Prêt_Non_Payé*Valeurs_Entrées,Solde_Départ,""), "")</f>
        <v/>
      </c>
      <c r="E242" s="36" t="str">
        <f>IFERROR(IF(Prêt_Non_Payé*Valeurs_Entrées,Paiement_Mensuel,""), "")</f>
        <v/>
      </c>
      <c r="F242" s="36" t="str">
        <f>IFERROR(IF(Prêt_Non_Payé*Valeurs_Entrées,Capital,""), "")</f>
        <v/>
      </c>
      <c r="G242" s="36" t="str">
        <f>IFERROR(IF(Prêt_Non_Payé*Valeurs_Entrées,Intérêts,""), "")</f>
        <v/>
      </c>
      <c r="H242" s="36" t="str">
        <f>IFERROR(IF(Prêt_Non_Payé*Valeurs_Entrées,Solde_Final,""), "")</f>
        <v/>
      </c>
    </row>
    <row r="243" spans="2:10" x14ac:dyDescent="0.25">
      <c r="B243" s="34" t="str">
        <f>IFERROR(IF(Prêt_Non_Payé*Valeurs_Entrées,Numéro_Paiement,""), "")</f>
        <v/>
      </c>
      <c r="C243" s="35" t="str">
        <f>IFERROR(IF(Prêt_Non_Payé*Valeurs_Entrées,Date_Paiement,""), "")</f>
        <v/>
      </c>
      <c r="D243" s="36" t="str">
        <f>IFERROR(IF(Prêt_Non_Payé*Valeurs_Entrées,Solde_Départ,""), "")</f>
        <v/>
      </c>
      <c r="E243" s="36" t="str">
        <f>IFERROR(IF(Prêt_Non_Payé*Valeurs_Entrées,Paiement_Mensuel,""), "")</f>
        <v/>
      </c>
      <c r="F243" s="36" t="str">
        <f>IFERROR(IF(Prêt_Non_Payé*Valeurs_Entrées,Capital,""), "")</f>
        <v/>
      </c>
      <c r="G243" s="36" t="str">
        <f>IFERROR(IF(Prêt_Non_Payé*Valeurs_Entrées,Intérêts,""), "")</f>
        <v/>
      </c>
      <c r="H243" s="36" t="str">
        <f>IFERROR(IF(Prêt_Non_Payé*Valeurs_Entrées,Solde_Final,""), "")</f>
        <v/>
      </c>
    </row>
    <row r="244" spans="2:10" x14ac:dyDescent="0.25">
      <c r="B244" s="34" t="str">
        <f>IFERROR(IF(Prêt_Non_Payé*Valeurs_Entrées,Numéro_Paiement,""), "")</f>
        <v/>
      </c>
      <c r="C244" s="35" t="str">
        <f>IFERROR(IF(Prêt_Non_Payé*Valeurs_Entrées,Date_Paiement,""), "")</f>
        <v/>
      </c>
      <c r="D244" s="36" t="str">
        <f>IFERROR(IF(Prêt_Non_Payé*Valeurs_Entrées,Solde_Départ,""), "")</f>
        <v/>
      </c>
      <c r="E244" s="36" t="str">
        <f>IFERROR(IF(Prêt_Non_Payé*Valeurs_Entrées,Paiement_Mensuel,""), "")</f>
        <v/>
      </c>
      <c r="F244" s="36" t="str">
        <f>IFERROR(IF(Prêt_Non_Payé*Valeurs_Entrées,Capital,""), "")</f>
        <v/>
      </c>
      <c r="G244" s="36" t="str">
        <f>IFERROR(IF(Prêt_Non_Payé*Valeurs_Entrées,Intérêts,""), "")</f>
        <v/>
      </c>
      <c r="H244" s="36" t="str">
        <f>IFERROR(IF(Prêt_Non_Payé*Valeurs_Entrées,Solde_Final,""), "")</f>
        <v/>
      </c>
    </row>
    <row r="245" spans="2:10" x14ac:dyDescent="0.25">
      <c r="B245" s="34" t="str">
        <f>IFERROR(IF(Prêt_Non_Payé*Valeurs_Entrées,Numéro_Paiement,""), "")</f>
        <v/>
      </c>
      <c r="C245" s="35" t="str">
        <f>IFERROR(IF(Prêt_Non_Payé*Valeurs_Entrées,Date_Paiement,""), "")</f>
        <v/>
      </c>
      <c r="D245" s="36" t="str">
        <f>IFERROR(IF(Prêt_Non_Payé*Valeurs_Entrées,Solde_Départ,""), "")</f>
        <v/>
      </c>
      <c r="E245" s="36" t="str">
        <f>IFERROR(IF(Prêt_Non_Payé*Valeurs_Entrées,Paiement_Mensuel,""), "")</f>
        <v/>
      </c>
      <c r="F245" s="36" t="str">
        <f>IFERROR(IF(Prêt_Non_Payé*Valeurs_Entrées,Capital,""), "")</f>
        <v/>
      </c>
      <c r="G245" s="36" t="str">
        <f>IFERROR(IF(Prêt_Non_Payé*Valeurs_Entrées,Intérêts,""), "")</f>
        <v/>
      </c>
      <c r="H245" s="36" t="str">
        <f>IFERROR(IF(Prêt_Non_Payé*Valeurs_Entrées,Solde_Final,""), "")</f>
        <v/>
      </c>
      <c r="J245" s="33">
        <f>IF(SUM(G229:G239)="",0,SUM(G229:G239))</f>
        <v>0</v>
      </c>
    </row>
    <row r="246" spans="2:10" x14ac:dyDescent="0.25">
      <c r="B246" s="34" t="str">
        <f>IFERROR(IF(Prêt_Non_Payé*Valeurs_Entrées,Numéro_Paiement,""), "")</f>
        <v/>
      </c>
      <c r="C246" s="35" t="str">
        <f>IFERROR(IF(Prêt_Non_Payé*Valeurs_Entrées,Date_Paiement,""), "")</f>
        <v/>
      </c>
      <c r="D246" s="36" t="str">
        <f>IFERROR(IF(Prêt_Non_Payé*Valeurs_Entrées,Solde_Départ,""), "")</f>
        <v/>
      </c>
      <c r="E246" s="36" t="str">
        <f>IFERROR(IF(Prêt_Non_Payé*Valeurs_Entrées,Paiement_Mensuel,""), "")</f>
        <v/>
      </c>
      <c r="F246" s="36" t="str">
        <f>IFERROR(IF(Prêt_Non_Payé*Valeurs_Entrées,Capital,""), "")</f>
        <v/>
      </c>
      <c r="G246" s="36" t="str">
        <f>IFERROR(IF(Prêt_Non_Payé*Valeurs_Entrées,Intérêts,""), "")</f>
        <v/>
      </c>
      <c r="H246" s="36" t="str">
        <f>IFERROR(IF(Prêt_Non_Payé*Valeurs_Entrées,Solde_Final,""), "")</f>
        <v/>
      </c>
    </row>
    <row r="247" spans="2:10" x14ac:dyDescent="0.25">
      <c r="B247" s="34" t="str">
        <f>IFERROR(IF(Prêt_Non_Payé*Valeurs_Entrées,Numéro_Paiement,""), "")</f>
        <v/>
      </c>
      <c r="C247" s="35" t="str">
        <f>IFERROR(IF(Prêt_Non_Payé*Valeurs_Entrées,Date_Paiement,""), "")</f>
        <v/>
      </c>
      <c r="D247" s="36" t="str">
        <f>IFERROR(IF(Prêt_Non_Payé*Valeurs_Entrées,Solde_Départ,""), "")</f>
        <v/>
      </c>
      <c r="E247" s="36" t="str">
        <f>IFERROR(IF(Prêt_Non_Payé*Valeurs_Entrées,Paiement_Mensuel,""), "")</f>
        <v/>
      </c>
      <c r="F247" s="36" t="str">
        <f>IFERROR(IF(Prêt_Non_Payé*Valeurs_Entrées,Capital,""), "")</f>
        <v/>
      </c>
      <c r="G247" s="36" t="str">
        <f>IFERROR(IF(Prêt_Non_Payé*Valeurs_Entrées,Intérêts,""), "")</f>
        <v/>
      </c>
      <c r="H247" s="36" t="str">
        <f>IFERROR(IF(Prêt_Non_Payé*Valeurs_Entrées,Solde_Final,""), "")</f>
        <v/>
      </c>
    </row>
    <row r="248" spans="2:10" x14ac:dyDescent="0.25">
      <c r="B248" s="34" t="str">
        <f>IFERROR(IF(Prêt_Non_Payé*Valeurs_Entrées,Numéro_Paiement,""), "")</f>
        <v/>
      </c>
      <c r="C248" s="35" t="str">
        <f>IFERROR(IF(Prêt_Non_Payé*Valeurs_Entrées,Date_Paiement,""), "")</f>
        <v/>
      </c>
      <c r="D248" s="36" t="str">
        <f>IFERROR(IF(Prêt_Non_Payé*Valeurs_Entrées,Solde_Départ,""), "")</f>
        <v/>
      </c>
      <c r="E248" s="36" t="str">
        <f>IFERROR(IF(Prêt_Non_Payé*Valeurs_Entrées,Paiement_Mensuel,""), "")</f>
        <v/>
      </c>
      <c r="F248" s="36" t="str">
        <f>IFERROR(IF(Prêt_Non_Payé*Valeurs_Entrées,Capital,""), "")</f>
        <v/>
      </c>
      <c r="G248" s="36" t="str">
        <f>IFERROR(IF(Prêt_Non_Payé*Valeurs_Entrées,Intérêts,""), "")</f>
        <v/>
      </c>
      <c r="H248" s="36" t="str">
        <f>IFERROR(IF(Prêt_Non_Payé*Valeurs_Entrées,Solde_Final,""), "")</f>
        <v/>
      </c>
    </row>
    <row r="249" spans="2:10" x14ac:dyDescent="0.25">
      <c r="B249" s="34" t="str">
        <f>IFERROR(IF(Prêt_Non_Payé*Valeurs_Entrées,Numéro_Paiement,""), "")</f>
        <v/>
      </c>
      <c r="C249" s="35" t="str">
        <f>IFERROR(IF(Prêt_Non_Payé*Valeurs_Entrées,Date_Paiement,""), "")</f>
        <v/>
      </c>
      <c r="D249" s="36" t="str">
        <f>IFERROR(IF(Prêt_Non_Payé*Valeurs_Entrées,Solde_Départ,""), "")</f>
        <v/>
      </c>
      <c r="E249" s="36" t="str">
        <f>IFERROR(IF(Prêt_Non_Payé*Valeurs_Entrées,Paiement_Mensuel,""), "")</f>
        <v/>
      </c>
      <c r="F249" s="36" t="str">
        <f>IFERROR(IF(Prêt_Non_Payé*Valeurs_Entrées,Capital,""), "")</f>
        <v/>
      </c>
      <c r="G249" s="36" t="str">
        <f>IFERROR(IF(Prêt_Non_Payé*Valeurs_Entrées,Intérêts,""), "")</f>
        <v/>
      </c>
      <c r="H249" s="36" t="str">
        <f>IFERROR(IF(Prêt_Non_Payé*Valeurs_Entrées,Solde_Final,""), "")</f>
        <v/>
      </c>
    </row>
    <row r="250" spans="2:10" x14ac:dyDescent="0.25">
      <c r="B250" s="34" t="str">
        <f>IFERROR(IF(Prêt_Non_Payé*Valeurs_Entrées,Numéro_Paiement,""), "")</f>
        <v/>
      </c>
      <c r="C250" s="35" t="str">
        <f>IFERROR(IF(Prêt_Non_Payé*Valeurs_Entrées,Date_Paiement,""), "")</f>
        <v/>
      </c>
      <c r="D250" s="36" t="str">
        <f>IFERROR(IF(Prêt_Non_Payé*Valeurs_Entrées,Solde_Départ,""), "")</f>
        <v/>
      </c>
      <c r="E250" s="36" t="str">
        <f>IFERROR(IF(Prêt_Non_Payé*Valeurs_Entrées,Paiement_Mensuel,""), "")</f>
        <v/>
      </c>
      <c r="F250" s="36" t="str">
        <f>IFERROR(IF(Prêt_Non_Payé*Valeurs_Entrées,Capital,""), "")</f>
        <v/>
      </c>
      <c r="G250" s="36" t="str">
        <f>IFERROR(IF(Prêt_Non_Payé*Valeurs_Entrées,Intérêts,""), "")</f>
        <v/>
      </c>
      <c r="H250" s="36" t="str">
        <f>IFERROR(IF(Prêt_Non_Payé*Valeurs_Entrées,Solde_Final,""), "")</f>
        <v/>
      </c>
    </row>
    <row r="251" spans="2:10" x14ac:dyDescent="0.25">
      <c r="B251" s="34" t="str">
        <f>IFERROR(IF(Prêt_Non_Payé*Valeurs_Entrées,Numéro_Paiement,""), "")</f>
        <v/>
      </c>
      <c r="C251" s="35" t="str">
        <f>IFERROR(IF(Prêt_Non_Payé*Valeurs_Entrées,Date_Paiement,""), "")</f>
        <v/>
      </c>
      <c r="D251" s="36" t="str">
        <f>IFERROR(IF(Prêt_Non_Payé*Valeurs_Entrées,Solde_Départ,""), "")</f>
        <v/>
      </c>
      <c r="E251" s="36" t="str">
        <f>IFERROR(IF(Prêt_Non_Payé*Valeurs_Entrées,Paiement_Mensuel,""), "")</f>
        <v/>
      </c>
      <c r="F251" s="36" t="str">
        <f>IFERROR(IF(Prêt_Non_Payé*Valeurs_Entrées,Capital,""), "")</f>
        <v/>
      </c>
      <c r="G251" s="36" t="str">
        <f>IFERROR(IF(Prêt_Non_Payé*Valeurs_Entrées,Intérêts,""), "")</f>
        <v/>
      </c>
      <c r="H251" s="36" t="str">
        <f>IFERROR(IF(Prêt_Non_Payé*Valeurs_Entrées,Solde_Final,""), "")</f>
        <v/>
      </c>
    </row>
    <row r="252" spans="2:10" x14ac:dyDescent="0.25">
      <c r="B252" s="34" t="str">
        <f>IFERROR(IF(Prêt_Non_Payé*Valeurs_Entrées,Numéro_Paiement,""), "")</f>
        <v/>
      </c>
      <c r="C252" s="35" t="str">
        <f>IFERROR(IF(Prêt_Non_Payé*Valeurs_Entrées,Date_Paiement,""), "")</f>
        <v/>
      </c>
      <c r="D252" s="36" t="str">
        <f>IFERROR(IF(Prêt_Non_Payé*Valeurs_Entrées,Solde_Départ,""), "")</f>
        <v/>
      </c>
      <c r="E252" s="36" t="str">
        <f>IFERROR(IF(Prêt_Non_Payé*Valeurs_Entrées,Paiement_Mensuel,""), "")</f>
        <v/>
      </c>
      <c r="F252" s="36" t="str">
        <f>IFERROR(IF(Prêt_Non_Payé*Valeurs_Entrées,Capital,""), "")</f>
        <v/>
      </c>
      <c r="G252" s="36" t="str">
        <f>IFERROR(IF(Prêt_Non_Payé*Valeurs_Entrées,Intérêts,""), "")</f>
        <v/>
      </c>
      <c r="H252" s="36" t="str">
        <f>IFERROR(IF(Prêt_Non_Payé*Valeurs_Entrées,Solde_Final,""), "")</f>
        <v/>
      </c>
    </row>
    <row r="253" spans="2:10" x14ac:dyDescent="0.25">
      <c r="B253" s="34" t="str">
        <f>IFERROR(IF(Prêt_Non_Payé*Valeurs_Entrées,Numéro_Paiement,""), "")</f>
        <v/>
      </c>
      <c r="C253" s="35" t="str">
        <f>IFERROR(IF(Prêt_Non_Payé*Valeurs_Entrées,Date_Paiement,""), "")</f>
        <v/>
      </c>
      <c r="D253" s="36" t="str">
        <f>IFERROR(IF(Prêt_Non_Payé*Valeurs_Entrées,Solde_Départ,""), "")</f>
        <v/>
      </c>
      <c r="E253" s="36" t="str">
        <f>IFERROR(IF(Prêt_Non_Payé*Valeurs_Entrées,Paiement_Mensuel,""), "")</f>
        <v/>
      </c>
      <c r="F253" s="36" t="str">
        <f>IFERROR(IF(Prêt_Non_Payé*Valeurs_Entrées,Capital,""), "")</f>
        <v/>
      </c>
      <c r="G253" s="36" t="str">
        <f>IFERROR(IF(Prêt_Non_Payé*Valeurs_Entrées,Intérêts,""), "")</f>
        <v/>
      </c>
      <c r="H253" s="36" t="str">
        <f>IFERROR(IF(Prêt_Non_Payé*Valeurs_Entrées,Solde_Final,""), "")</f>
        <v/>
      </c>
    </row>
    <row r="254" spans="2:10" x14ac:dyDescent="0.25">
      <c r="B254" s="34" t="str">
        <f>IFERROR(IF(Prêt_Non_Payé*Valeurs_Entrées,Numéro_Paiement,""), "")</f>
        <v/>
      </c>
      <c r="C254" s="35" t="str">
        <f>IFERROR(IF(Prêt_Non_Payé*Valeurs_Entrées,Date_Paiement,""), "")</f>
        <v/>
      </c>
      <c r="D254" s="36" t="str">
        <f>IFERROR(IF(Prêt_Non_Payé*Valeurs_Entrées,Solde_Départ,""), "")</f>
        <v/>
      </c>
      <c r="E254" s="36" t="str">
        <f>IFERROR(IF(Prêt_Non_Payé*Valeurs_Entrées,Paiement_Mensuel,""), "")</f>
        <v/>
      </c>
      <c r="F254" s="36" t="str">
        <f>IFERROR(IF(Prêt_Non_Payé*Valeurs_Entrées,Capital,""), "")</f>
        <v/>
      </c>
      <c r="G254" s="36" t="str">
        <f>IFERROR(IF(Prêt_Non_Payé*Valeurs_Entrées,Intérêts,""), "")</f>
        <v/>
      </c>
      <c r="H254" s="36" t="str">
        <f>IFERROR(IF(Prêt_Non_Payé*Valeurs_Entrées,Solde_Final,""), "")</f>
        <v/>
      </c>
    </row>
    <row r="255" spans="2:10" x14ac:dyDescent="0.25">
      <c r="B255" s="34" t="str">
        <f>IFERROR(IF(Prêt_Non_Payé*Valeurs_Entrées,Numéro_Paiement,""), "")</f>
        <v/>
      </c>
      <c r="C255" s="35" t="str">
        <f>IFERROR(IF(Prêt_Non_Payé*Valeurs_Entrées,Date_Paiement,""), "")</f>
        <v/>
      </c>
      <c r="D255" s="36" t="str">
        <f>IFERROR(IF(Prêt_Non_Payé*Valeurs_Entrées,Solde_Départ,""), "")</f>
        <v/>
      </c>
      <c r="E255" s="36" t="str">
        <f>IFERROR(IF(Prêt_Non_Payé*Valeurs_Entrées,Paiement_Mensuel,""), "")</f>
        <v/>
      </c>
      <c r="F255" s="36" t="str">
        <f>IFERROR(IF(Prêt_Non_Payé*Valeurs_Entrées,Capital,""), "")</f>
        <v/>
      </c>
      <c r="G255" s="36" t="str">
        <f>IFERROR(IF(Prêt_Non_Payé*Valeurs_Entrées,Intérêts,""), "")</f>
        <v/>
      </c>
      <c r="H255" s="36" t="str">
        <f>IFERROR(IF(Prêt_Non_Payé*Valeurs_Entrées,Solde_Final,""), "")</f>
        <v/>
      </c>
    </row>
    <row r="256" spans="2:10" x14ac:dyDescent="0.25">
      <c r="B256" s="34" t="str">
        <f>IFERROR(IF(Prêt_Non_Payé*Valeurs_Entrées,Numéro_Paiement,""), "")</f>
        <v/>
      </c>
      <c r="C256" s="35" t="str">
        <f>IFERROR(IF(Prêt_Non_Payé*Valeurs_Entrées,Date_Paiement,""), "")</f>
        <v/>
      </c>
      <c r="D256" s="36" t="str">
        <f>IFERROR(IF(Prêt_Non_Payé*Valeurs_Entrées,Solde_Départ,""), "")</f>
        <v/>
      </c>
      <c r="E256" s="36" t="str">
        <f>IFERROR(IF(Prêt_Non_Payé*Valeurs_Entrées,Paiement_Mensuel,""), "")</f>
        <v/>
      </c>
      <c r="F256" s="36" t="str">
        <f>IFERROR(IF(Prêt_Non_Payé*Valeurs_Entrées,Capital,""), "")</f>
        <v/>
      </c>
      <c r="G256" s="36" t="str">
        <f>IFERROR(IF(Prêt_Non_Payé*Valeurs_Entrées,Intérêts,""), "")</f>
        <v/>
      </c>
      <c r="H256" s="36" t="str">
        <f>IFERROR(IF(Prêt_Non_Payé*Valeurs_Entrées,Solde_Final,""), "")</f>
        <v/>
      </c>
    </row>
    <row r="257" spans="2:10" x14ac:dyDescent="0.25">
      <c r="B257" s="34" t="str">
        <f>IFERROR(IF(Prêt_Non_Payé*Valeurs_Entrées,Numéro_Paiement,""), "")</f>
        <v/>
      </c>
      <c r="C257" s="35" t="str">
        <f>IFERROR(IF(Prêt_Non_Payé*Valeurs_Entrées,Date_Paiement,""), "")</f>
        <v/>
      </c>
      <c r="D257" s="36" t="str">
        <f>IFERROR(IF(Prêt_Non_Payé*Valeurs_Entrées,Solde_Départ,""), "")</f>
        <v/>
      </c>
      <c r="E257" s="36" t="str">
        <f>IFERROR(IF(Prêt_Non_Payé*Valeurs_Entrées,Paiement_Mensuel,""), "")</f>
        <v/>
      </c>
      <c r="F257" s="36" t="str">
        <f>IFERROR(IF(Prêt_Non_Payé*Valeurs_Entrées,Capital,""), "")</f>
        <v/>
      </c>
      <c r="G257" s="36" t="str">
        <f>IFERROR(IF(Prêt_Non_Payé*Valeurs_Entrées,Intérêts,""), "")</f>
        <v/>
      </c>
      <c r="H257" s="36" t="str">
        <f>IFERROR(IF(Prêt_Non_Payé*Valeurs_Entrées,Solde_Final,""), "")</f>
        <v/>
      </c>
      <c r="J257" s="33">
        <f>IF(SUM(G241:G251)="",0,SUM(G241:G251))</f>
        <v>0</v>
      </c>
    </row>
    <row r="258" spans="2:10" x14ac:dyDescent="0.25">
      <c r="B258" s="34" t="str">
        <f>IFERROR(IF(Prêt_Non_Payé*Valeurs_Entrées,Numéro_Paiement,""), "")</f>
        <v/>
      </c>
      <c r="C258" s="35" t="str">
        <f>IFERROR(IF(Prêt_Non_Payé*Valeurs_Entrées,Date_Paiement,""), "")</f>
        <v/>
      </c>
      <c r="D258" s="36" t="str">
        <f>IFERROR(IF(Prêt_Non_Payé*Valeurs_Entrées,Solde_Départ,""), "")</f>
        <v/>
      </c>
      <c r="E258" s="36" t="str">
        <f>IFERROR(IF(Prêt_Non_Payé*Valeurs_Entrées,Paiement_Mensuel,""), "")</f>
        <v/>
      </c>
      <c r="F258" s="36" t="str">
        <f>IFERROR(IF(Prêt_Non_Payé*Valeurs_Entrées,Capital,""), "")</f>
        <v/>
      </c>
      <c r="G258" s="36" t="str">
        <f>IFERROR(IF(Prêt_Non_Payé*Valeurs_Entrées,Intérêts,""), "")</f>
        <v/>
      </c>
      <c r="H258" s="36" t="str">
        <f>IFERROR(IF(Prêt_Non_Payé*Valeurs_Entrées,Solde_Final,""), "")</f>
        <v/>
      </c>
    </row>
    <row r="259" spans="2:10" x14ac:dyDescent="0.25">
      <c r="B259" s="34" t="str">
        <f>IFERROR(IF(Prêt_Non_Payé*Valeurs_Entrées,Numéro_Paiement,""), "")</f>
        <v/>
      </c>
      <c r="C259" s="35" t="str">
        <f>IFERROR(IF(Prêt_Non_Payé*Valeurs_Entrées,Date_Paiement,""), "")</f>
        <v/>
      </c>
      <c r="D259" s="36" t="str">
        <f>IFERROR(IF(Prêt_Non_Payé*Valeurs_Entrées,Solde_Départ,""), "")</f>
        <v/>
      </c>
      <c r="E259" s="36" t="str">
        <f>IFERROR(IF(Prêt_Non_Payé*Valeurs_Entrées,Paiement_Mensuel,""), "")</f>
        <v/>
      </c>
      <c r="F259" s="36" t="str">
        <f>IFERROR(IF(Prêt_Non_Payé*Valeurs_Entrées,Capital,""), "")</f>
        <v/>
      </c>
      <c r="G259" s="36" t="str">
        <f>IFERROR(IF(Prêt_Non_Payé*Valeurs_Entrées,Intérêts,""), "")</f>
        <v/>
      </c>
      <c r="H259" s="36" t="str">
        <f>IFERROR(IF(Prêt_Non_Payé*Valeurs_Entrées,Solde_Final,""), "")</f>
        <v/>
      </c>
    </row>
    <row r="260" spans="2:10" x14ac:dyDescent="0.25">
      <c r="B260" s="34" t="str">
        <f>IFERROR(IF(Prêt_Non_Payé*Valeurs_Entrées,Numéro_Paiement,""), "")</f>
        <v/>
      </c>
      <c r="C260" s="35" t="str">
        <f>IFERROR(IF(Prêt_Non_Payé*Valeurs_Entrées,Date_Paiement,""), "")</f>
        <v/>
      </c>
      <c r="D260" s="36" t="str">
        <f>IFERROR(IF(Prêt_Non_Payé*Valeurs_Entrées,Solde_Départ,""), "")</f>
        <v/>
      </c>
      <c r="E260" s="36" t="str">
        <f>IFERROR(IF(Prêt_Non_Payé*Valeurs_Entrées,Paiement_Mensuel,""), "")</f>
        <v/>
      </c>
      <c r="F260" s="36" t="str">
        <f>IFERROR(IF(Prêt_Non_Payé*Valeurs_Entrées,Capital,""), "")</f>
        <v/>
      </c>
      <c r="G260" s="36" t="str">
        <f>IFERROR(IF(Prêt_Non_Payé*Valeurs_Entrées,Intérêts,""), "")</f>
        <v/>
      </c>
      <c r="H260" s="36" t="str">
        <f>IFERROR(IF(Prêt_Non_Payé*Valeurs_Entrées,Solde_Final,""), "")</f>
        <v/>
      </c>
    </row>
    <row r="261" spans="2:10" x14ac:dyDescent="0.25">
      <c r="B261" s="34" t="str">
        <f>IFERROR(IF(Prêt_Non_Payé*Valeurs_Entrées,Numéro_Paiement,""), "")</f>
        <v/>
      </c>
      <c r="C261" s="35" t="str">
        <f>IFERROR(IF(Prêt_Non_Payé*Valeurs_Entrées,Date_Paiement,""), "")</f>
        <v/>
      </c>
      <c r="D261" s="36" t="str">
        <f>IFERROR(IF(Prêt_Non_Payé*Valeurs_Entrées,Solde_Départ,""), "")</f>
        <v/>
      </c>
      <c r="E261" s="36" t="str">
        <f>IFERROR(IF(Prêt_Non_Payé*Valeurs_Entrées,Paiement_Mensuel,""), "")</f>
        <v/>
      </c>
      <c r="F261" s="36" t="str">
        <f>IFERROR(IF(Prêt_Non_Payé*Valeurs_Entrées,Capital,""), "")</f>
        <v/>
      </c>
      <c r="G261" s="36" t="str">
        <f>IFERROR(IF(Prêt_Non_Payé*Valeurs_Entrées,Intérêts,""), "")</f>
        <v/>
      </c>
      <c r="H261" s="36" t="str">
        <f>IFERROR(IF(Prêt_Non_Payé*Valeurs_Entrées,Solde_Final,""), "")</f>
        <v/>
      </c>
    </row>
    <row r="262" spans="2:10" x14ac:dyDescent="0.25">
      <c r="B262" s="34" t="str">
        <f>IFERROR(IF(Prêt_Non_Payé*Valeurs_Entrées,Numéro_Paiement,""), "")</f>
        <v/>
      </c>
      <c r="C262" s="35" t="str">
        <f>IFERROR(IF(Prêt_Non_Payé*Valeurs_Entrées,Date_Paiement,""), "")</f>
        <v/>
      </c>
      <c r="D262" s="36" t="str">
        <f>IFERROR(IF(Prêt_Non_Payé*Valeurs_Entrées,Solde_Départ,""), "")</f>
        <v/>
      </c>
      <c r="E262" s="36" t="str">
        <f>IFERROR(IF(Prêt_Non_Payé*Valeurs_Entrées,Paiement_Mensuel,""), "")</f>
        <v/>
      </c>
      <c r="F262" s="36" t="str">
        <f>IFERROR(IF(Prêt_Non_Payé*Valeurs_Entrées,Capital,""), "")</f>
        <v/>
      </c>
      <c r="G262" s="36" t="str">
        <f>IFERROR(IF(Prêt_Non_Payé*Valeurs_Entrées,Intérêts,""), "")</f>
        <v/>
      </c>
      <c r="H262" s="36" t="str">
        <f>IFERROR(IF(Prêt_Non_Payé*Valeurs_Entrées,Solde_Final,""), "")</f>
        <v/>
      </c>
    </row>
    <row r="263" spans="2:10" x14ac:dyDescent="0.25">
      <c r="B263" s="34" t="str">
        <f>IFERROR(IF(Prêt_Non_Payé*Valeurs_Entrées,Numéro_Paiement,""), "")</f>
        <v/>
      </c>
      <c r="C263" s="35" t="str">
        <f>IFERROR(IF(Prêt_Non_Payé*Valeurs_Entrées,Date_Paiement,""), "")</f>
        <v/>
      </c>
      <c r="D263" s="36" t="str">
        <f>IFERROR(IF(Prêt_Non_Payé*Valeurs_Entrées,Solde_Départ,""), "")</f>
        <v/>
      </c>
      <c r="E263" s="36" t="str">
        <f>IFERROR(IF(Prêt_Non_Payé*Valeurs_Entrées,Paiement_Mensuel,""), "")</f>
        <v/>
      </c>
      <c r="F263" s="36" t="str">
        <f>IFERROR(IF(Prêt_Non_Payé*Valeurs_Entrées,Capital,""), "")</f>
        <v/>
      </c>
      <c r="G263" s="36" t="str">
        <f>IFERROR(IF(Prêt_Non_Payé*Valeurs_Entrées,Intérêts,""), "")</f>
        <v/>
      </c>
      <c r="H263" s="36" t="str">
        <f>IFERROR(IF(Prêt_Non_Payé*Valeurs_Entrées,Solde_Final,""), "")</f>
        <v/>
      </c>
    </row>
    <row r="264" spans="2:10" x14ac:dyDescent="0.25">
      <c r="B264" s="34" t="str">
        <f>IFERROR(IF(Prêt_Non_Payé*Valeurs_Entrées,Numéro_Paiement,""), "")</f>
        <v/>
      </c>
      <c r="C264" s="35" t="str">
        <f>IFERROR(IF(Prêt_Non_Payé*Valeurs_Entrées,Date_Paiement,""), "")</f>
        <v/>
      </c>
      <c r="D264" s="36" t="str">
        <f>IFERROR(IF(Prêt_Non_Payé*Valeurs_Entrées,Solde_Départ,""), "")</f>
        <v/>
      </c>
      <c r="E264" s="36" t="str">
        <f>IFERROR(IF(Prêt_Non_Payé*Valeurs_Entrées,Paiement_Mensuel,""), "")</f>
        <v/>
      </c>
      <c r="F264" s="36" t="str">
        <f>IFERROR(IF(Prêt_Non_Payé*Valeurs_Entrées,Capital,""), "")</f>
        <v/>
      </c>
      <c r="G264" s="36" t="str">
        <f>IFERROR(IF(Prêt_Non_Payé*Valeurs_Entrées,Intérêts,""), "")</f>
        <v/>
      </c>
      <c r="H264" s="36" t="str">
        <f>IFERROR(IF(Prêt_Non_Payé*Valeurs_Entrées,Solde_Final,""), "")</f>
        <v/>
      </c>
    </row>
    <row r="265" spans="2:10" x14ac:dyDescent="0.25">
      <c r="B265" s="34" t="str">
        <f>IFERROR(IF(Prêt_Non_Payé*Valeurs_Entrées,Numéro_Paiement,""), "")</f>
        <v/>
      </c>
      <c r="C265" s="35" t="str">
        <f>IFERROR(IF(Prêt_Non_Payé*Valeurs_Entrées,Date_Paiement,""), "")</f>
        <v/>
      </c>
      <c r="D265" s="36" t="str">
        <f>IFERROR(IF(Prêt_Non_Payé*Valeurs_Entrées,Solde_Départ,""), "")</f>
        <v/>
      </c>
      <c r="E265" s="36" t="str">
        <f>IFERROR(IF(Prêt_Non_Payé*Valeurs_Entrées,Paiement_Mensuel,""), "")</f>
        <v/>
      </c>
      <c r="F265" s="36" t="str">
        <f>IFERROR(IF(Prêt_Non_Payé*Valeurs_Entrées,Capital,""), "")</f>
        <v/>
      </c>
      <c r="G265" s="36" t="str">
        <f>IFERROR(IF(Prêt_Non_Payé*Valeurs_Entrées,Intérêts,""), "")</f>
        <v/>
      </c>
      <c r="H265" s="36" t="str">
        <f>IFERROR(IF(Prêt_Non_Payé*Valeurs_Entrées,Solde_Final,""), "")</f>
        <v/>
      </c>
    </row>
    <row r="266" spans="2:10" x14ac:dyDescent="0.25">
      <c r="B266" s="34" t="str">
        <f>IFERROR(IF(Prêt_Non_Payé*Valeurs_Entrées,Numéro_Paiement,""), "")</f>
        <v/>
      </c>
      <c r="C266" s="35" t="str">
        <f>IFERROR(IF(Prêt_Non_Payé*Valeurs_Entrées,Date_Paiement,""), "")</f>
        <v/>
      </c>
      <c r="D266" s="36" t="str">
        <f>IFERROR(IF(Prêt_Non_Payé*Valeurs_Entrées,Solde_Départ,""), "")</f>
        <v/>
      </c>
      <c r="E266" s="36" t="str">
        <f>IFERROR(IF(Prêt_Non_Payé*Valeurs_Entrées,Paiement_Mensuel,""), "")</f>
        <v/>
      </c>
      <c r="F266" s="36" t="str">
        <f>IFERROR(IF(Prêt_Non_Payé*Valeurs_Entrées,Capital,""), "")</f>
        <v/>
      </c>
      <c r="G266" s="36" t="str">
        <f>IFERROR(IF(Prêt_Non_Payé*Valeurs_Entrées,Intérêts,""), "")</f>
        <v/>
      </c>
      <c r="H266" s="36" t="str">
        <f>IFERROR(IF(Prêt_Non_Payé*Valeurs_Entrées,Solde_Final,""), "")</f>
        <v/>
      </c>
    </row>
    <row r="267" spans="2:10" x14ac:dyDescent="0.25">
      <c r="B267" s="34" t="str">
        <f>IFERROR(IF(Prêt_Non_Payé*Valeurs_Entrées,Numéro_Paiement,""), "")</f>
        <v/>
      </c>
      <c r="C267" s="35" t="str">
        <f>IFERROR(IF(Prêt_Non_Payé*Valeurs_Entrées,Date_Paiement,""), "")</f>
        <v/>
      </c>
      <c r="D267" s="36" t="str">
        <f>IFERROR(IF(Prêt_Non_Payé*Valeurs_Entrées,Solde_Départ,""), "")</f>
        <v/>
      </c>
      <c r="E267" s="36" t="str">
        <f>IFERROR(IF(Prêt_Non_Payé*Valeurs_Entrées,Paiement_Mensuel,""), "")</f>
        <v/>
      </c>
      <c r="F267" s="36" t="str">
        <f>IFERROR(IF(Prêt_Non_Payé*Valeurs_Entrées,Capital,""), "")</f>
        <v/>
      </c>
      <c r="G267" s="36" t="str">
        <f>IFERROR(IF(Prêt_Non_Payé*Valeurs_Entrées,Intérêts,""), "")</f>
        <v/>
      </c>
      <c r="H267" s="36" t="str">
        <f>IFERROR(IF(Prêt_Non_Payé*Valeurs_Entrées,Solde_Final,""), "")</f>
        <v/>
      </c>
    </row>
    <row r="268" spans="2:10" x14ac:dyDescent="0.25">
      <c r="B268" s="34" t="str">
        <f>IFERROR(IF(Prêt_Non_Payé*Valeurs_Entrées,Numéro_Paiement,""), "")</f>
        <v/>
      </c>
      <c r="C268" s="35" t="str">
        <f>IFERROR(IF(Prêt_Non_Payé*Valeurs_Entrées,Date_Paiement,""), "")</f>
        <v/>
      </c>
      <c r="D268" s="36" t="str">
        <f>IFERROR(IF(Prêt_Non_Payé*Valeurs_Entrées,Solde_Départ,""), "")</f>
        <v/>
      </c>
      <c r="E268" s="36" t="str">
        <f>IFERROR(IF(Prêt_Non_Payé*Valeurs_Entrées,Paiement_Mensuel,""), "")</f>
        <v/>
      </c>
      <c r="F268" s="36" t="str">
        <f>IFERROR(IF(Prêt_Non_Payé*Valeurs_Entrées,Capital,""), "")</f>
        <v/>
      </c>
      <c r="G268" s="36" t="str">
        <f>IFERROR(IF(Prêt_Non_Payé*Valeurs_Entrées,Intérêts,""), "")</f>
        <v/>
      </c>
      <c r="H268" s="36" t="str">
        <f>IFERROR(IF(Prêt_Non_Payé*Valeurs_Entrées,Solde_Final,""), "")</f>
        <v/>
      </c>
    </row>
    <row r="269" spans="2:10" x14ac:dyDescent="0.25">
      <c r="B269" s="34" t="str">
        <f>IFERROR(IF(Prêt_Non_Payé*Valeurs_Entrées,Numéro_Paiement,""), "")</f>
        <v/>
      </c>
      <c r="C269" s="35" t="str">
        <f>IFERROR(IF(Prêt_Non_Payé*Valeurs_Entrées,Date_Paiement,""), "")</f>
        <v/>
      </c>
      <c r="D269" s="36" t="str">
        <f>IFERROR(IF(Prêt_Non_Payé*Valeurs_Entrées,Solde_Départ,""), "")</f>
        <v/>
      </c>
      <c r="E269" s="36" t="str">
        <f>IFERROR(IF(Prêt_Non_Payé*Valeurs_Entrées,Paiement_Mensuel,""), "")</f>
        <v/>
      </c>
      <c r="F269" s="36" t="str">
        <f>IFERROR(IF(Prêt_Non_Payé*Valeurs_Entrées,Capital,""), "")</f>
        <v/>
      </c>
      <c r="G269" s="36" t="str">
        <f>IFERROR(IF(Prêt_Non_Payé*Valeurs_Entrées,Intérêts,""), "")</f>
        <v/>
      </c>
      <c r="H269" s="36" t="str">
        <f>IFERROR(IF(Prêt_Non_Payé*Valeurs_Entrées,Solde_Final,""), "")</f>
        <v/>
      </c>
      <c r="J269" s="33">
        <f>IF(SUM(G253:G263)="",0,SUM(G253:G263))</f>
        <v>0</v>
      </c>
    </row>
    <row r="270" spans="2:10" x14ac:dyDescent="0.25">
      <c r="B270" s="34" t="str">
        <f>IFERROR(IF(Prêt_Non_Payé*Valeurs_Entrées,Numéro_Paiement,""), "")</f>
        <v/>
      </c>
      <c r="C270" s="35" t="str">
        <f>IFERROR(IF(Prêt_Non_Payé*Valeurs_Entrées,Date_Paiement,""), "")</f>
        <v/>
      </c>
      <c r="D270" s="36" t="str">
        <f>IFERROR(IF(Prêt_Non_Payé*Valeurs_Entrées,Solde_Départ,""), "")</f>
        <v/>
      </c>
      <c r="E270" s="36" t="str">
        <f>IFERROR(IF(Prêt_Non_Payé*Valeurs_Entrées,Paiement_Mensuel,""), "")</f>
        <v/>
      </c>
      <c r="F270" s="36" t="str">
        <f>IFERROR(IF(Prêt_Non_Payé*Valeurs_Entrées,Capital,""), "")</f>
        <v/>
      </c>
      <c r="G270" s="36" t="str">
        <f>IFERROR(IF(Prêt_Non_Payé*Valeurs_Entrées,Intérêts,""), "")</f>
        <v/>
      </c>
      <c r="H270" s="36" t="str">
        <f>IFERROR(IF(Prêt_Non_Payé*Valeurs_Entrées,Solde_Final,""), "")</f>
        <v/>
      </c>
    </row>
    <row r="271" spans="2:10" x14ac:dyDescent="0.25">
      <c r="B271" s="34" t="str">
        <f>IFERROR(IF(Prêt_Non_Payé*Valeurs_Entrées,Numéro_Paiement,""), "")</f>
        <v/>
      </c>
      <c r="C271" s="35" t="str">
        <f>IFERROR(IF(Prêt_Non_Payé*Valeurs_Entrées,Date_Paiement,""), "")</f>
        <v/>
      </c>
      <c r="D271" s="36" t="str">
        <f>IFERROR(IF(Prêt_Non_Payé*Valeurs_Entrées,Solde_Départ,""), "")</f>
        <v/>
      </c>
      <c r="E271" s="36" t="str">
        <f>IFERROR(IF(Prêt_Non_Payé*Valeurs_Entrées,Paiement_Mensuel,""), "")</f>
        <v/>
      </c>
      <c r="F271" s="36" t="str">
        <f>IFERROR(IF(Prêt_Non_Payé*Valeurs_Entrées,Capital,""), "")</f>
        <v/>
      </c>
      <c r="G271" s="36" t="str">
        <f>IFERROR(IF(Prêt_Non_Payé*Valeurs_Entrées,Intérêts,""), "")</f>
        <v/>
      </c>
      <c r="H271" s="36" t="str">
        <f>IFERROR(IF(Prêt_Non_Payé*Valeurs_Entrées,Solde_Final,""), "")</f>
        <v/>
      </c>
    </row>
    <row r="272" spans="2:10" x14ac:dyDescent="0.25">
      <c r="B272" s="34" t="str">
        <f>IFERROR(IF(Prêt_Non_Payé*Valeurs_Entrées,Numéro_Paiement,""), "")</f>
        <v/>
      </c>
      <c r="C272" s="35" t="str">
        <f>IFERROR(IF(Prêt_Non_Payé*Valeurs_Entrées,Date_Paiement,""), "")</f>
        <v/>
      </c>
      <c r="D272" s="36" t="str">
        <f>IFERROR(IF(Prêt_Non_Payé*Valeurs_Entrées,Solde_Départ,""), "")</f>
        <v/>
      </c>
      <c r="E272" s="36" t="str">
        <f>IFERROR(IF(Prêt_Non_Payé*Valeurs_Entrées,Paiement_Mensuel,""), "")</f>
        <v/>
      </c>
      <c r="F272" s="36" t="str">
        <f>IFERROR(IF(Prêt_Non_Payé*Valeurs_Entrées,Capital,""), "")</f>
        <v/>
      </c>
      <c r="G272" s="36" t="str">
        <f>IFERROR(IF(Prêt_Non_Payé*Valeurs_Entrées,Intérêts,""), "")</f>
        <v/>
      </c>
      <c r="H272" s="36" t="str">
        <f>IFERROR(IF(Prêt_Non_Payé*Valeurs_Entrées,Solde_Final,""), "")</f>
        <v/>
      </c>
    </row>
    <row r="273" spans="2:10" x14ac:dyDescent="0.25">
      <c r="B273" s="34" t="str">
        <f>IFERROR(IF(Prêt_Non_Payé*Valeurs_Entrées,Numéro_Paiement,""), "")</f>
        <v/>
      </c>
      <c r="C273" s="35" t="str">
        <f>IFERROR(IF(Prêt_Non_Payé*Valeurs_Entrées,Date_Paiement,""), "")</f>
        <v/>
      </c>
      <c r="D273" s="36" t="str">
        <f>IFERROR(IF(Prêt_Non_Payé*Valeurs_Entrées,Solde_Départ,""), "")</f>
        <v/>
      </c>
      <c r="E273" s="36" t="str">
        <f>IFERROR(IF(Prêt_Non_Payé*Valeurs_Entrées,Paiement_Mensuel,""), "")</f>
        <v/>
      </c>
      <c r="F273" s="36" t="str">
        <f>IFERROR(IF(Prêt_Non_Payé*Valeurs_Entrées,Capital,""), "")</f>
        <v/>
      </c>
      <c r="G273" s="36" t="str">
        <f>IFERROR(IF(Prêt_Non_Payé*Valeurs_Entrées,Intérêts,""), "")</f>
        <v/>
      </c>
      <c r="H273" s="36" t="str">
        <f>IFERROR(IF(Prêt_Non_Payé*Valeurs_Entrées,Solde_Final,""), "")</f>
        <v/>
      </c>
    </row>
    <row r="274" spans="2:10" x14ac:dyDescent="0.25">
      <c r="B274" s="34" t="str">
        <f>IFERROR(IF(Prêt_Non_Payé*Valeurs_Entrées,Numéro_Paiement,""), "")</f>
        <v/>
      </c>
      <c r="C274" s="35" t="str">
        <f>IFERROR(IF(Prêt_Non_Payé*Valeurs_Entrées,Date_Paiement,""), "")</f>
        <v/>
      </c>
      <c r="D274" s="36" t="str">
        <f>IFERROR(IF(Prêt_Non_Payé*Valeurs_Entrées,Solde_Départ,""), "")</f>
        <v/>
      </c>
      <c r="E274" s="36" t="str">
        <f>IFERROR(IF(Prêt_Non_Payé*Valeurs_Entrées,Paiement_Mensuel,""), "")</f>
        <v/>
      </c>
      <c r="F274" s="36" t="str">
        <f>IFERROR(IF(Prêt_Non_Payé*Valeurs_Entrées,Capital,""), "")</f>
        <v/>
      </c>
      <c r="G274" s="36" t="str">
        <f>IFERROR(IF(Prêt_Non_Payé*Valeurs_Entrées,Intérêts,""), "")</f>
        <v/>
      </c>
      <c r="H274" s="36" t="str">
        <f>IFERROR(IF(Prêt_Non_Payé*Valeurs_Entrées,Solde_Final,""), "")</f>
        <v/>
      </c>
    </row>
    <row r="275" spans="2:10" x14ac:dyDescent="0.25">
      <c r="B275" s="34" t="str">
        <f>IFERROR(IF(Prêt_Non_Payé*Valeurs_Entrées,Numéro_Paiement,""), "")</f>
        <v/>
      </c>
      <c r="C275" s="35" t="str">
        <f>IFERROR(IF(Prêt_Non_Payé*Valeurs_Entrées,Date_Paiement,""), "")</f>
        <v/>
      </c>
      <c r="D275" s="36" t="str">
        <f>IFERROR(IF(Prêt_Non_Payé*Valeurs_Entrées,Solde_Départ,""), "")</f>
        <v/>
      </c>
      <c r="E275" s="36" t="str">
        <f>IFERROR(IF(Prêt_Non_Payé*Valeurs_Entrées,Paiement_Mensuel,""), "")</f>
        <v/>
      </c>
      <c r="F275" s="36" t="str">
        <f>IFERROR(IF(Prêt_Non_Payé*Valeurs_Entrées,Capital,""), "")</f>
        <v/>
      </c>
      <c r="G275" s="36" t="str">
        <f>IFERROR(IF(Prêt_Non_Payé*Valeurs_Entrées,Intérêts,""), "")</f>
        <v/>
      </c>
      <c r="H275" s="36" t="str">
        <f>IFERROR(IF(Prêt_Non_Payé*Valeurs_Entrées,Solde_Final,""), "")</f>
        <v/>
      </c>
    </row>
    <row r="276" spans="2:10" x14ac:dyDescent="0.25">
      <c r="B276" s="34" t="str">
        <f>IFERROR(IF(Prêt_Non_Payé*Valeurs_Entrées,Numéro_Paiement,""), "")</f>
        <v/>
      </c>
      <c r="C276" s="35" t="str">
        <f>IFERROR(IF(Prêt_Non_Payé*Valeurs_Entrées,Date_Paiement,""), "")</f>
        <v/>
      </c>
      <c r="D276" s="36" t="str">
        <f>IFERROR(IF(Prêt_Non_Payé*Valeurs_Entrées,Solde_Départ,""), "")</f>
        <v/>
      </c>
      <c r="E276" s="36" t="str">
        <f>IFERROR(IF(Prêt_Non_Payé*Valeurs_Entrées,Paiement_Mensuel,""), "")</f>
        <v/>
      </c>
      <c r="F276" s="36" t="str">
        <f>IFERROR(IF(Prêt_Non_Payé*Valeurs_Entrées,Capital,""), "")</f>
        <v/>
      </c>
      <c r="G276" s="36" t="str">
        <f>IFERROR(IF(Prêt_Non_Payé*Valeurs_Entrées,Intérêts,""), "")</f>
        <v/>
      </c>
      <c r="H276" s="36" t="str">
        <f>IFERROR(IF(Prêt_Non_Payé*Valeurs_Entrées,Solde_Final,""), "")</f>
        <v/>
      </c>
    </row>
    <row r="277" spans="2:10" x14ac:dyDescent="0.25">
      <c r="B277" s="34" t="str">
        <f>IFERROR(IF(Prêt_Non_Payé*Valeurs_Entrées,Numéro_Paiement,""), "")</f>
        <v/>
      </c>
      <c r="C277" s="35" t="str">
        <f>IFERROR(IF(Prêt_Non_Payé*Valeurs_Entrées,Date_Paiement,""), "")</f>
        <v/>
      </c>
      <c r="D277" s="36" t="str">
        <f>IFERROR(IF(Prêt_Non_Payé*Valeurs_Entrées,Solde_Départ,""), "")</f>
        <v/>
      </c>
      <c r="E277" s="36" t="str">
        <f>IFERROR(IF(Prêt_Non_Payé*Valeurs_Entrées,Paiement_Mensuel,""), "")</f>
        <v/>
      </c>
      <c r="F277" s="36" t="str">
        <f>IFERROR(IF(Prêt_Non_Payé*Valeurs_Entrées,Capital,""), "")</f>
        <v/>
      </c>
      <c r="G277" s="36" t="str">
        <f>IFERROR(IF(Prêt_Non_Payé*Valeurs_Entrées,Intérêts,""), "")</f>
        <v/>
      </c>
      <c r="H277" s="36" t="str">
        <f>IFERROR(IF(Prêt_Non_Payé*Valeurs_Entrées,Solde_Final,""), "")</f>
        <v/>
      </c>
    </row>
    <row r="278" spans="2:10" x14ac:dyDescent="0.25">
      <c r="B278" s="34" t="str">
        <f>IFERROR(IF(Prêt_Non_Payé*Valeurs_Entrées,Numéro_Paiement,""), "")</f>
        <v/>
      </c>
      <c r="C278" s="35" t="str">
        <f>IFERROR(IF(Prêt_Non_Payé*Valeurs_Entrées,Date_Paiement,""), "")</f>
        <v/>
      </c>
      <c r="D278" s="36" t="str">
        <f>IFERROR(IF(Prêt_Non_Payé*Valeurs_Entrées,Solde_Départ,""), "")</f>
        <v/>
      </c>
      <c r="E278" s="36" t="str">
        <f>IFERROR(IF(Prêt_Non_Payé*Valeurs_Entrées,Paiement_Mensuel,""), "")</f>
        <v/>
      </c>
      <c r="F278" s="36" t="str">
        <f>IFERROR(IF(Prêt_Non_Payé*Valeurs_Entrées,Capital,""), "")</f>
        <v/>
      </c>
      <c r="G278" s="36" t="str">
        <f>IFERROR(IF(Prêt_Non_Payé*Valeurs_Entrées,Intérêts,""), "")</f>
        <v/>
      </c>
      <c r="H278" s="36" t="str">
        <f>IFERROR(IF(Prêt_Non_Payé*Valeurs_Entrées,Solde_Final,""), "")</f>
        <v/>
      </c>
    </row>
    <row r="279" spans="2:10" x14ac:dyDescent="0.25">
      <c r="B279" s="34" t="str">
        <f>IFERROR(IF(Prêt_Non_Payé*Valeurs_Entrées,Numéro_Paiement,""), "")</f>
        <v/>
      </c>
      <c r="C279" s="35" t="str">
        <f>IFERROR(IF(Prêt_Non_Payé*Valeurs_Entrées,Date_Paiement,""), "")</f>
        <v/>
      </c>
      <c r="D279" s="36" t="str">
        <f>IFERROR(IF(Prêt_Non_Payé*Valeurs_Entrées,Solde_Départ,""), "")</f>
        <v/>
      </c>
      <c r="E279" s="36" t="str">
        <f>IFERROR(IF(Prêt_Non_Payé*Valeurs_Entrées,Paiement_Mensuel,""), "")</f>
        <v/>
      </c>
      <c r="F279" s="36" t="str">
        <f>IFERROR(IF(Prêt_Non_Payé*Valeurs_Entrées,Capital,""), "")</f>
        <v/>
      </c>
      <c r="G279" s="36" t="str">
        <f>IFERROR(IF(Prêt_Non_Payé*Valeurs_Entrées,Intérêts,""), "")</f>
        <v/>
      </c>
      <c r="H279" s="36" t="str">
        <f>IFERROR(IF(Prêt_Non_Payé*Valeurs_Entrées,Solde_Final,""), "")</f>
        <v/>
      </c>
    </row>
    <row r="280" spans="2:10" x14ac:dyDescent="0.25">
      <c r="B280" s="34" t="str">
        <f>IFERROR(IF(Prêt_Non_Payé*Valeurs_Entrées,Numéro_Paiement,""), "")</f>
        <v/>
      </c>
      <c r="C280" s="35" t="str">
        <f>IFERROR(IF(Prêt_Non_Payé*Valeurs_Entrées,Date_Paiement,""), "")</f>
        <v/>
      </c>
      <c r="D280" s="36" t="str">
        <f>IFERROR(IF(Prêt_Non_Payé*Valeurs_Entrées,Solde_Départ,""), "")</f>
        <v/>
      </c>
      <c r="E280" s="36" t="str">
        <f>IFERROR(IF(Prêt_Non_Payé*Valeurs_Entrées,Paiement_Mensuel,""), "")</f>
        <v/>
      </c>
      <c r="F280" s="36" t="str">
        <f>IFERROR(IF(Prêt_Non_Payé*Valeurs_Entrées,Capital,""), "")</f>
        <v/>
      </c>
      <c r="G280" s="36" t="str">
        <f>IFERROR(IF(Prêt_Non_Payé*Valeurs_Entrées,Intérêts,""), "")</f>
        <v/>
      </c>
      <c r="H280" s="36" t="str">
        <f>IFERROR(IF(Prêt_Non_Payé*Valeurs_Entrées,Solde_Final,""), "")</f>
        <v/>
      </c>
    </row>
    <row r="281" spans="2:10" x14ac:dyDescent="0.25">
      <c r="B281" s="34" t="str">
        <f>IFERROR(IF(Prêt_Non_Payé*Valeurs_Entrées,Numéro_Paiement,""), "")</f>
        <v/>
      </c>
      <c r="C281" s="35" t="str">
        <f>IFERROR(IF(Prêt_Non_Payé*Valeurs_Entrées,Date_Paiement,""), "")</f>
        <v/>
      </c>
      <c r="D281" s="36" t="str">
        <f>IFERROR(IF(Prêt_Non_Payé*Valeurs_Entrées,Solde_Départ,""), "")</f>
        <v/>
      </c>
      <c r="E281" s="36" t="str">
        <f>IFERROR(IF(Prêt_Non_Payé*Valeurs_Entrées,Paiement_Mensuel,""), "")</f>
        <v/>
      </c>
      <c r="F281" s="36" t="str">
        <f>IFERROR(IF(Prêt_Non_Payé*Valeurs_Entrées,Capital,""), "")</f>
        <v/>
      </c>
      <c r="G281" s="36" t="str">
        <f>IFERROR(IF(Prêt_Non_Payé*Valeurs_Entrées,Intérêts,""), "")</f>
        <v/>
      </c>
      <c r="H281" s="36" t="str">
        <f>IFERROR(IF(Prêt_Non_Payé*Valeurs_Entrées,Solde_Final,""), "")</f>
        <v/>
      </c>
      <c r="J281" s="33">
        <f>IF(SUM(G265:G275)="",0,SUM(G265:G275))</f>
        <v>0</v>
      </c>
    </row>
    <row r="282" spans="2:10" x14ac:dyDescent="0.25">
      <c r="B282" s="34" t="str">
        <f>IFERROR(IF(Prêt_Non_Payé*Valeurs_Entrées,Numéro_Paiement,""), "")</f>
        <v/>
      </c>
      <c r="C282" s="35" t="str">
        <f>IFERROR(IF(Prêt_Non_Payé*Valeurs_Entrées,Date_Paiement,""), "")</f>
        <v/>
      </c>
      <c r="D282" s="36" t="str">
        <f>IFERROR(IF(Prêt_Non_Payé*Valeurs_Entrées,Solde_Départ,""), "")</f>
        <v/>
      </c>
      <c r="E282" s="36" t="str">
        <f>IFERROR(IF(Prêt_Non_Payé*Valeurs_Entrées,Paiement_Mensuel,""), "")</f>
        <v/>
      </c>
      <c r="F282" s="36" t="str">
        <f>IFERROR(IF(Prêt_Non_Payé*Valeurs_Entrées,Capital,""), "")</f>
        <v/>
      </c>
      <c r="G282" s="36" t="str">
        <f>IFERROR(IF(Prêt_Non_Payé*Valeurs_Entrées,Intérêts,""), "")</f>
        <v/>
      </c>
      <c r="H282" s="36" t="str">
        <f>IFERROR(IF(Prêt_Non_Payé*Valeurs_Entrées,Solde_Final,""), "")</f>
        <v/>
      </c>
    </row>
    <row r="283" spans="2:10" x14ac:dyDescent="0.25">
      <c r="B283" s="34" t="str">
        <f>IFERROR(IF(Prêt_Non_Payé*Valeurs_Entrées,Numéro_Paiement,""), "")</f>
        <v/>
      </c>
      <c r="C283" s="35" t="str">
        <f>IFERROR(IF(Prêt_Non_Payé*Valeurs_Entrées,Date_Paiement,""), "")</f>
        <v/>
      </c>
      <c r="D283" s="36" t="str">
        <f>IFERROR(IF(Prêt_Non_Payé*Valeurs_Entrées,Solde_Départ,""), "")</f>
        <v/>
      </c>
      <c r="E283" s="36" t="str">
        <f>IFERROR(IF(Prêt_Non_Payé*Valeurs_Entrées,Paiement_Mensuel,""), "")</f>
        <v/>
      </c>
      <c r="F283" s="36" t="str">
        <f>IFERROR(IF(Prêt_Non_Payé*Valeurs_Entrées,Capital,""), "")</f>
        <v/>
      </c>
      <c r="G283" s="36" t="str">
        <f>IFERROR(IF(Prêt_Non_Payé*Valeurs_Entrées,Intérêts,""), "")</f>
        <v/>
      </c>
      <c r="H283" s="36" t="str">
        <f>IFERROR(IF(Prêt_Non_Payé*Valeurs_Entrées,Solde_Final,""), "")</f>
        <v/>
      </c>
    </row>
    <row r="284" spans="2:10" x14ac:dyDescent="0.25">
      <c r="B284" s="34" t="str">
        <f>IFERROR(IF(Prêt_Non_Payé*Valeurs_Entrées,Numéro_Paiement,""), "")</f>
        <v/>
      </c>
      <c r="C284" s="35" t="str">
        <f>IFERROR(IF(Prêt_Non_Payé*Valeurs_Entrées,Date_Paiement,""), "")</f>
        <v/>
      </c>
      <c r="D284" s="36" t="str">
        <f>IFERROR(IF(Prêt_Non_Payé*Valeurs_Entrées,Solde_Départ,""), "")</f>
        <v/>
      </c>
      <c r="E284" s="36" t="str">
        <f>IFERROR(IF(Prêt_Non_Payé*Valeurs_Entrées,Paiement_Mensuel,""), "")</f>
        <v/>
      </c>
      <c r="F284" s="36" t="str">
        <f>IFERROR(IF(Prêt_Non_Payé*Valeurs_Entrées,Capital,""), "")</f>
        <v/>
      </c>
      <c r="G284" s="36" t="str">
        <f>IFERROR(IF(Prêt_Non_Payé*Valeurs_Entrées,Intérêts,""), "")</f>
        <v/>
      </c>
      <c r="H284" s="36" t="str">
        <f>IFERROR(IF(Prêt_Non_Payé*Valeurs_Entrées,Solde_Final,""), "")</f>
        <v/>
      </c>
    </row>
    <row r="285" spans="2:10" x14ac:dyDescent="0.25">
      <c r="B285" s="34" t="str">
        <f>IFERROR(IF(Prêt_Non_Payé*Valeurs_Entrées,Numéro_Paiement,""), "")</f>
        <v/>
      </c>
      <c r="C285" s="35" t="str">
        <f>IFERROR(IF(Prêt_Non_Payé*Valeurs_Entrées,Date_Paiement,""), "")</f>
        <v/>
      </c>
      <c r="D285" s="36" t="str">
        <f>IFERROR(IF(Prêt_Non_Payé*Valeurs_Entrées,Solde_Départ,""), "")</f>
        <v/>
      </c>
      <c r="E285" s="36" t="str">
        <f>IFERROR(IF(Prêt_Non_Payé*Valeurs_Entrées,Paiement_Mensuel,""), "")</f>
        <v/>
      </c>
      <c r="F285" s="36" t="str">
        <f>IFERROR(IF(Prêt_Non_Payé*Valeurs_Entrées,Capital,""), "")</f>
        <v/>
      </c>
      <c r="G285" s="36" t="str">
        <f>IFERROR(IF(Prêt_Non_Payé*Valeurs_Entrées,Intérêts,""), "")</f>
        <v/>
      </c>
      <c r="H285" s="36" t="str">
        <f>IFERROR(IF(Prêt_Non_Payé*Valeurs_Entrées,Solde_Final,""), "")</f>
        <v/>
      </c>
    </row>
    <row r="286" spans="2:10" x14ac:dyDescent="0.25">
      <c r="B286" s="34" t="str">
        <f>IFERROR(IF(Prêt_Non_Payé*Valeurs_Entrées,Numéro_Paiement,""), "")</f>
        <v/>
      </c>
      <c r="C286" s="35" t="str">
        <f>IFERROR(IF(Prêt_Non_Payé*Valeurs_Entrées,Date_Paiement,""), "")</f>
        <v/>
      </c>
      <c r="D286" s="36" t="str">
        <f>IFERROR(IF(Prêt_Non_Payé*Valeurs_Entrées,Solde_Départ,""), "")</f>
        <v/>
      </c>
      <c r="E286" s="36" t="str">
        <f>IFERROR(IF(Prêt_Non_Payé*Valeurs_Entrées,Paiement_Mensuel,""), "")</f>
        <v/>
      </c>
      <c r="F286" s="36" t="str">
        <f>IFERROR(IF(Prêt_Non_Payé*Valeurs_Entrées,Capital,""), "")</f>
        <v/>
      </c>
      <c r="G286" s="36" t="str">
        <f>IFERROR(IF(Prêt_Non_Payé*Valeurs_Entrées,Intérêts,""), "")</f>
        <v/>
      </c>
      <c r="H286" s="36" t="str">
        <f>IFERROR(IF(Prêt_Non_Payé*Valeurs_Entrées,Solde_Final,""), "")</f>
        <v/>
      </c>
    </row>
    <row r="287" spans="2:10" x14ac:dyDescent="0.25">
      <c r="B287" s="34" t="str">
        <f>IFERROR(IF(Prêt_Non_Payé*Valeurs_Entrées,Numéro_Paiement,""), "")</f>
        <v/>
      </c>
      <c r="C287" s="35" t="str">
        <f>IFERROR(IF(Prêt_Non_Payé*Valeurs_Entrées,Date_Paiement,""), "")</f>
        <v/>
      </c>
      <c r="D287" s="36" t="str">
        <f>IFERROR(IF(Prêt_Non_Payé*Valeurs_Entrées,Solde_Départ,""), "")</f>
        <v/>
      </c>
      <c r="E287" s="36" t="str">
        <f>IFERROR(IF(Prêt_Non_Payé*Valeurs_Entrées,Paiement_Mensuel,""), "")</f>
        <v/>
      </c>
      <c r="F287" s="36" t="str">
        <f>IFERROR(IF(Prêt_Non_Payé*Valeurs_Entrées,Capital,""), "")</f>
        <v/>
      </c>
      <c r="G287" s="36" t="str">
        <f>IFERROR(IF(Prêt_Non_Payé*Valeurs_Entrées,Intérêts,""), "")</f>
        <v/>
      </c>
      <c r="H287" s="36" t="str">
        <f>IFERROR(IF(Prêt_Non_Payé*Valeurs_Entrées,Solde_Final,""), "")</f>
        <v/>
      </c>
    </row>
    <row r="288" spans="2:10" x14ac:dyDescent="0.25">
      <c r="B288" s="34" t="str">
        <f>IFERROR(IF(Prêt_Non_Payé*Valeurs_Entrées,Numéro_Paiement,""), "")</f>
        <v/>
      </c>
      <c r="C288" s="35" t="str">
        <f>IFERROR(IF(Prêt_Non_Payé*Valeurs_Entrées,Date_Paiement,""), "")</f>
        <v/>
      </c>
      <c r="D288" s="36" t="str">
        <f>IFERROR(IF(Prêt_Non_Payé*Valeurs_Entrées,Solde_Départ,""), "")</f>
        <v/>
      </c>
      <c r="E288" s="36" t="str">
        <f>IFERROR(IF(Prêt_Non_Payé*Valeurs_Entrées,Paiement_Mensuel,""), "")</f>
        <v/>
      </c>
      <c r="F288" s="36" t="str">
        <f>IFERROR(IF(Prêt_Non_Payé*Valeurs_Entrées,Capital,""), "")</f>
        <v/>
      </c>
      <c r="G288" s="36" t="str">
        <f>IFERROR(IF(Prêt_Non_Payé*Valeurs_Entrées,Intérêts,""), "")</f>
        <v/>
      </c>
      <c r="H288" s="36" t="str">
        <f>IFERROR(IF(Prêt_Non_Payé*Valeurs_Entrées,Solde_Final,""), "")</f>
        <v/>
      </c>
    </row>
    <row r="289" spans="2:10" x14ac:dyDescent="0.25">
      <c r="B289" s="34" t="str">
        <f>IFERROR(IF(Prêt_Non_Payé*Valeurs_Entrées,Numéro_Paiement,""), "")</f>
        <v/>
      </c>
      <c r="C289" s="35" t="str">
        <f>IFERROR(IF(Prêt_Non_Payé*Valeurs_Entrées,Date_Paiement,""), "")</f>
        <v/>
      </c>
      <c r="D289" s="36" t="str">
        <f>IFERROR(IF(Prêt_Non_Payé*Valeurs_Entrées,Solde_Départ,""), "")</f>
        <v/>
      </c>
      <c r="E289" s="36" t="str">
        <f>IFERROR(IF(Prêt_Non_Payé*Valeurs_Entrées,Paiement_Mensuel,""), "")</f>
        <v/>
      </c>
      <c r="F289" s="36" t="str">
        <f>IFERROR(IF(Prêt_Non_Payé*Valeurs_Entrées,Capital,""), "")</f>
        <v/>
      </c>
      <c r="G289" s="36" t="str">
        <f>IFERROR(IF(Prêt_Non_Payé*Valeurs_Entrées,Intérêts,""), "")</f>
        <v/>
      </c>
      <c r="H289" s="36" t="str">
        <f>IFERROR(IF(Prêt_Non_Payé*Valeurs_Entrées,Solde_Final,""), "")</f>
        <v/>
      </c>
    </row>
    <row r="290" spans="2:10" x14ac:dyDescent="0.25">
      <c r="B290" s="34" t="str">
        <f>IFERROR(IF(Prêt_Non_Payé*Valeurs_Entrées,Numéro_Paiement,""), "")</f>
        <v/>
      </c>
      <c r="C290" s="35" t="str">
        <f>IFERROR(IF(Prêt_Non_Payé*Valeurs_Entrées,Date_Paiement,""), "")</f>
        <v/>
      </c>
      <c r="D290" s="36" t="str">
        <f>IFERROR(IF(Prêt_Non_Payé*Valeurs_Entrées,Solde_Départ,""), "")</f>
        <v/>
      </c>
      <c r="E290" s="36" t="str">
        <f>IFERROR(IF(Prêt_Non_Payé*Valeurs_Entrées,Paiement_Mensuel,""), "")</f>
        <v/>
      </c>
      <c r="F290" s="36" t="str">
        <f>IFERROR(IF(Prêt_Non_Payé*Valeurs_Entrées,Capital,""), "")</f>
        <v/>
      </c>
      <c r="G290" s="36" t="str">
        <f>IFERROR(IF(Prêt_Non_Payé*Valeurs_Entrées,Intérêts,""), "")</f>
        <v/>
      </c>
      <c r="H290" s="36" t="str">
        <f>IFERROR(IF(Prêt_Non_Payé*Valeurs_Entrées,Solde_Final,""), "")</f>
        <v/>
      </c>
    </row>
    <row r="291" spans="2:10" x14ac:dyDescent="0.25">
      <c r="B291" s="34" t="str">
        <f>IFERROR(IF(Prêt_Non_Payé*Valeurs_Entrées,Numéro_Paiement,""), "")</f>
        <v/>
      </c>
      <c r="C291" s="35" t="str">
        <f>IFERROR(IF(Prêt_Non_Payé*Valeurs_Entrées,Date_Paiement,""), "")</f>
        <v/>
      </c>
      <c r="D291" s="36" t="str">
        <f>IFERROR(IF(Prêt_Non_Payé*Valeurs_Entrées,Solde_Départ,""), "")</f>
        <v/>
      </c>
      <c r="E291" s="36" t="str">
        <f>IFERROR(IF(Prêt_Non_Payé*Valeurs_Entrées,Paiement_Mensuel,""), "")</f>
        <v/>
      </c>
      <c r="F291" s="36" t="str">
        <f>IFERROR(IF(Prêt_Non_Payé*Valeurs_Entrées,Capital,""), "")</f>
        <v/>
      </c>
      <c r="G291" s="36" t="str">
        <f>IFERROR(IF(Prêt_Non_Payé*Valeurs_Entrées,Intérêts,""), "")</f>
        <v/>
      </c>
      <c r="H291" s="36" t="str">
        <f>IFERROR(IF(Prêt_Non_Payé*Valeurs_Entrées,Solde_Final,""), "")</f>
        <v/>
      </c>
    </row>
    <row r="292" spans="2:10" x14ac:dyDescent="0.25">
      <c r="B292" s="34" t="str">
        <f>IFERROR(IF(Prêt_Non_Payé*Valeurs_Entrées,Numéro_Paiement,""), "")</f>
        <v/>
      </c>
      <c r="C292" s="35" t="str">
        <f>IFERROR(IF(Prêt_Non_Payé*Valeurs_Entrées,Date_Paiement,""), "")</f>
        <v/>
      </c>
      <c r="D292" s="36" t="str">
        <f>IFERROR(IF(Prêt_Non_Payé*Valeurs_Entrées,Solde_Départ,""), "")</f>
        <v/>
      </c>
      <c r="E292" s="36" t="str">
        <f>IFERROR(IF(Prêt_Non_Payé*Valeurs_Entrées,Paiement_Mensuel,""), "")</f>
        <v/>
      </c>
      <c r="F292" s="36" t="str">
        <f>IFERROR(IF(Prêt_Non_Payé*Valeurs_Entrées,Capital,""), "")</f>
        <v/>
      </c>
      <c r="G292" s="36" t="str">
        <f>IFERROR(IF(Prêt_Non_Payé*Valeurs_Entrées,Intérêts,""), "")</f>
        <v/>
      </c>
      <c r="H292" s="36" t="str">
        <f>IFERROR(IF(Prêt_Non_Payé*Valeurs_Entrées,Solde_Final,""), "")</f>
        <v/>
      </c>
    </row>
    <row r="293" spans="2:10" x14ac:dyDescent="0.25">
      <c r="B293" s="34" t="str">
        <f>IFERROR(IF(Prêt_Non_Payé*Valeurs_Entrées,Numéro_Paiement,""), "")</f>
        <v/>
      </c>
      <c r="C293" s="35" t="str">
        <f>IFERROR(IF(Prêt_Non_Payé*Valeurs_Entrées,Date_Paiement,""), "")</f>
        <v/>
      </c>
      <c r="D293" s="36" t="str">
        <f>IFERROR(IF(Prêt_Non_Payé*Valeurs_Entrées,Solde_Départ,""), "")</f>
        <v/>
      </c>
      <c r="E293" s="36" t="str">
        <f>IFERROR(IF(Prêt_Non_Payé*Valeurs_Entrées,Paiement_Mensuel,""), "")</f>
        <v/>
      </c>
      <c r="F293" s="36" t="str">
        <f>IFERROR(IF(Prêt_Non_Payé*Valeurs_Entrées,Capital,""), "")</f>
        <v/>
      </c>
      <c r="G293" s="36" t="str">
        <f>IFERROR(IF(Prêt_Non_Payé*Valeurs_Entrées,Intérêts,""), "")</f>
        <v/>
      </c>
      <c r="H293" s="36" t="str">
        <f>IFERROR(IF(Prêt_Non_Payé*Valeurs_Entrées,Solde_Final,""), "")</f>
        <v/>
      </c>
      <c r="J293" s="33">
        <f>IF(SUM(G277:G287)="",0,SUM(G277:G287))</f>
        <v>0</v>
      </c>
    </row>
    <row r="294" spans="2:10" x14ac:dyDescent="0.25">
      <c r="B294" s="34" t="str">
        <f>IFERROR(IF(Prêt_Non_Payé*Valeurs_Entrées,Numéro_Paiement,""), "")</f>
        <v/>
      </c>
      <c r="C294" s="35" t="str">
        <f>IFERROR(IF(Prêt_Non_Payé*Valeurs_Entrées,Date_Paiement,""), "")</f>
        <v/>
      </c>
      <c r="D294" s="36" t="str">
        <f>IFERROR(IF(Prêt_Non_Payé*Valeurs_Entrées,Solde_Départ,""), "")</f>
        <v/>
      </c>
      <c r="E294" s="36" t="str">
        <f>IFERROR(IF(Prêt_Non_Payé*Valeurs_Entrées,Paiement_Mensuel,""), "")</f>
        <v/>
      </c>
      <c r="F294" s="36" t="str">
        <f>IFERROR(IF(Prêt_Non_Payé*Valeurs_Entrées,Capital,""), "")</f>
        <v/>
      </c>
      <c r="G294" s="36" t="str">
        <f>IFERROR(IF(Prêt_Non_Payé*Valeurs_Entrées,Intérêts,""), "")</f>
        <v/>
      </c>
      <c r="H294" s="36" t="str">
        <f>IFERROR(IF(Prêt_Non_Payé*Valeurs_Entrées,Solde_Final,""), "")</f>
        <v/>
      </c>
    </row>
    <row r="295" spans="2:10" x14ac:dyDescent="0.25">
      <c r="B295" s="34" t="str">
        <f>IFERROR(IF(Prêt_Non_Payé*Valeurs_Entrées,Numéro_Paiement,""), "")</f>
        <v/>
      </c>
      <c r="C295" s="35" t="str">
        <f>IFERROR(IF(Prêt_Non_Payé*Valeurs_Entrées,Date_Paiement,""), "")</f>
        <v/>
      </c>
      <c r="D295" s="36" t="str">
        <f>IFERROR(IF(Prêt_Non_Payé*Valeurs_Entrées,Solde_Départ,""), "")</f>
        <v/>
      </c>
      <c r="E295" s="36" t="str">
        <f>IFERROR(IF(Prêt_Non_Payé*Valeurs_Entrées,Paiement_Mensuel,""), "")</f>
        <v/>
      </c>
      <c r="F295" s="36" t="str">
        <f>IFERROR(IF(Prêt_Non_Payé*Valeurs_Entrées,Capital,""), "")</f>
        <v/>
      </c>
      <c r="G295" s="36" t="str">
        <f>IFERROR(IF(Prêt_Non_Payé*Valeurs_Entrées,Intérêts,""), "")</f>
        <v/>
      </c>
      <c r="H295" s="36" t="str">
        <f>IFERROR(IF(Prêt_Non_Payé*Valeurs_Entrées,Solde_Final,""), "")</f>
        <v/>
      </c>
    </row>
    <row r="296" spans="2:10" x14ac:dyDescent="0.25">
      <c r="B296" s="34" t="str">
        <f>IFERROR(IF(Prêt_Non_Payé*Valeurs_Entrées,Numéro_Paiement,""), "")</f>
        <v/>
      </c>
      <c r="C296" s="35" t="str">
        <f>IFERROR(IF(Prêt_Non_Payé*Valeurs_Entrées,Date_Paiement,""), "")</f>
        <v/>
      </c>
      <c r="D296" s="36" t="str">
        <f>IFERROR(IF(Prêt_Non_Payé*Valeurs_Entrées,Solde_Départ,""), "")</f>
        <v/>
      </c>
      <c r="E296" s="36" t="str">
        <f>IFERROR(IF(Prêt_Non_Payé*Valeurs_Entrées,Paiement_Mensuel,""), "")</f>
        <v/>
      </c>
      <c r="F296" s="36" t="str">
        <f>IFERROR(IF(Prêt_Non_Payé*Valeurs_Entrées,Capital,""), "")</f>
        <v/>
      </c>
      <c r="G296" s="36" t="str">
        <f>IFERROR(IF(Prêt_Non_Payé*Valeurs_Entrées,Intérêts,""), "")</f>
        <v/>
      </c>
      <c r="H296" s="36" t="str">
        <f>IFERROR(IF(Prêt_Non_Payé*Valeurs_Entrées,Solde_Final,""), "")</f>
        <v/>
      </c>
    </row>
    <row r="297" spans="2:10" x14ac:dyDescent="0.25">
      <c r="B297" s="34" t="str">
        <f>IFERROR(IF(Prêt_Non_Payé*Valeurs_Entrées,Numéro_Paiement,""), "")</f>
        <v/>
      </c>
      <c r="C297" s="35" t="str">
        <f>IFERROR(IF(Prêt_Non_Payé*Valeurs_Entrées,Date_Paiement,""), "")</f>
        <v/>
      </c>
      <c r="D297" s="36" t="str">
        <f>IFERROR(IF(Prêt_Non_Payé*Valeurs_Entrées,Solde_Départ,""), "")</f>
        <v/>
      </c>
      <c r="E297" s="36" t="str">
        <f>IFERROR(IF(Prêt_Non_Payé*Valeurs_Entrées,Paiement_Mensuel,""), "")</f>
        <v/>
      </c>
      <c r="F297" s="36" t="str">
        <f>IFERROR(IF(Prêt_Non_Payé*Valeurs_Entrées,Capital,""), "")</f>
        <v/>
      </c>
      <c r="G297" s="36" t="str">
        <f>IFERROR(IF(Prêt_Non_Payé*Valeurs_Entrées,Intérêts,""), "")</f>
        <v/>
      </c>
      <c r="H297" s="36" t="str">
        <f>IFERROR(IF(Prêt_Non_Payé*Valeurs_Entrées,Solde_Final,""), "")</f>
        <v/>
      </c>
    </row>
    <row r="298" spans="2:10" x14ac:dyDescent="0.25">
      <c r="B298" s="34" t="str">
        <f>IFERROR(IF(Prêt_Non_Payé*Valeurs_Entrées,Numéro_Paiement,""), "")</f>
        <v/>
      </c>
      <c r="C298" s="35" t="str">
        <f>IFERROR(IF(Prêt_Non_Payé*Valeurs_Entrées,Date_Paiement,""), "")</f>
        <v/>
      </c>
      <c r="D298" s="36" t="str">
        <f>IFERROR(IF(Prêt_Non_Payé*Valeurs_Entrées,Solde_Départ,""), "")</f>
        <v/>
      </c>
      <c r="E298" s="36" t="str">
        <f>IFERROR(IF(Prêt_Non_Payé*Valeurs_Entrées,Paiement_Mensuel,""), "")</f>
        <v/>
      </c>
      <c r="F298" s="36" t="str">
        <f>IFERROR(IF(Prêt_Non_Payé*Valeurs_Entrées,Capital,""), "")</f>
        <v/>
      </c>
      <c r="G298" s="36" t="str">
        <f>IFERROR(IF(Prêt_Non_Payé*Valeurs_Entrées,Intérêts,""), "")</f>
        <v/>
      </c>
      <c r="H298" s="36" t="str">
        <f>IFERROR(IF(Prêt_Non_Payé*Valeurs_Entrées,Solde_Final,""), "")</f>
        <v/>
      </c>
    </row>
    <row r="299" spans="2:10" x14ac:dyDescent="0.25">
      <c r="B299" s="34" t="str">
        <f>IFERROR(IF(Prêt_Non_Payé*Valeurs_Entrées,Numéro_Paiement,""), "")</f>
        <v/>
      </c>
      <c r="C299" s="35" t="str">
        <f>IFERROR(IF(Prêt_Non_Payé*Valeurs_Entrées,Date_Paiement,""), "")</f>
        <v/>
      </c>
      <c r="D299" s="36" t="str">
        <f>IFERROR(IF(Prêt_Non_Payé*Valeurs_Entrées,Solde_Départ,""), "")</f>
        <v/>
      </c>
      <c r="E299" s="36" t="str">
        <f>IFERROR(IF(Prêt_Non_Payé*Valeurs_Entrées,Paiement_Mensuel,""), "")</f>
        <v/>
      </c>
      <c r="F299" s="36" t="str">
        <f>IFERROR(IF(Prêt_Non_Payé*Valeurs_Entrées,Capital,""), "")</f>
        <v/>
      </c>
      <c r="G299" s="36" t="str">
        <f>IFERROR(IF(Prêt_Non_Payé*Valeurs_Entrées,Intérêts,""), "")</f>
        <v/>
      </c>
      <c r="H299" s="36" t="str">
        <f>IFERROR(IF(Prêt_Non_Payé*Valeurs_Entrées,Solde_Final,""), "")</f>
        <v/>
      </c>
    </row>
    <row r="300" spans="2:10" x14ac:dyDescent="0.25">
      <c r="B300" s="34" t="str">
        <f>IFERROR(IF(Prêt_Non_Payé*Valeurs_Entrées,Numéro_Paiement,""), "")</f>
        <v/>
      </c>
      <c r="C300" s="35" t="str">
        <f>IFERROR(IF(Prêt_Non_Payé*Valeurs_Entrées,Date_Paiement,""), "")</f>
        <v/>
      </c>
      <c r="D300" s="36" t="str">
        <f>IFERROR(IF(Prêt_Non_Payé*Valeurs_Entrées,Solde_Départ,""), "")</f>
        <v/>
      </c>
      <c r="E300" s="36" t="str">
        <f>IFERROR(IF(Prêt_Non_Payé*Valeurs_Entrées,Paiement_Mensuel,""), "")</f>
        <v/>
      </c>
      <c r="F300" s="36" t="str">
        <f>IFERROR(IF(Prêt_Non_Payé*Valeurs_Entrées,Capital,""), "")</f>
        <v/>
      </c>
      <c r="G300" s="36" t="str">
        <f>IFERROR(IF(Prêt_Non_Payé*Valeurs_Entrées,Intérêts,""), "")</f>
        <v/>
      </c>
      <c r="H300" s="36" t="str">
        <f>IFERROR(IF(Prêt_Non_Payé*Valeurs_Entrées,Solde_Final,""), "")</f>
        <v/>
      </c>
    </row>
    <row r="301" spans="2:10" x14ac:dyDescent="0.25">
      <c r="B301" s="34" t="str">
        <f>IFERROR(IF(Prêt_Non_Payé*Valeurs_Entrées,Numéro_Paiement,""), "")</f>
        <v/>
      </c>
      <c r="C301" s="35" t="str">
        <f>IFERROR(IF(Prêt_Non_Payé*Valeurs_Entrées,Date_Paiement,""), "")</f>
        <v/>
      </c>
      <c r="D301" s="36" t="str">
        <f>IFERROR(IF(Prêt_Non_Payé*Valeurs_Entrées,Solde_Départ,""), "")</f>
        <v/>
      </c>
      <c r="E301" s="36" t="str">
        <f>IFERROR(IF(Prêt_Non_Payé*Valeurs_Entrées,Paiement_Mensuel,""), "")</f>
        <v/>
      </c>
      <c r="F301" s="36" t="str">
        <f>IFERROR(IF(Prêt_Non_Payé*Valeurs_Entrées,Capital,""), "")</f>
        <v/>
      </c>
      <c r="G301" s="36" t="str">
        <f>IFERROR(IF(Prêt_Non_Payé*Valeurs_Entrées,Intérêts,""), "")</f>
        <v/>
      </c>
      <c r="H301" s="36" t="str">
        <f>IFERROR(IF(Prêt_Non_Payé*Valeurs_Entrées,Solde_Final,""), "")</f>
        <v/>
      </c>
    </row>
    <row r="302" spans="2:10" x14ac:dyDescent="0.25">
      <c r="B302" s="34" t="str">
        <f>IFERROR(IF(Prêt_Non_Payé*Valeurs_Entrées,Numéro_Paiement,""), "")</f>
        <v/>
      </c>
      <c r="C302" s="35" t="str">
        <f>IFERROR(IF(Prêt_Non_Payé*Valeurs_Entrées,Date_Paiement,""), "")</f>
        <v/>
      </c>
      <c r="D302" s="36" t="str">
        <f>IFERROR(IF(Prêt_Non_Payé*Valeurs_Entrées,Solde_Départ,""), "")</f>
        <v/>
      </c>
      <c r="E302" s="36" t="str">
        <f>IFERROR(IF(Prêt_Non_Payé*Valeurs_Entrées,Paiement_Mensuel,""), "")</f>
        <v/>
      </c>
      <c r="F302" s="36" t="str">
        <f>IFERROR(IF(Prêt_Non_Payé*Valeurs_Entrées,Capital,""), "")</f>
        <v/>
      </c>
      <c r="G302" s="36" t="str">
        <f>IFERROR(IF(Prêt_Non_Payé*Valeurs_Entrées,Intérêts,""), "")</f>
        <v/>
      </c>
      <c r="H302" s="36" t="str">
        <f>IFERROR(IF(Prêt_Non_Payé*Valeurs_Entrées,Solde_Final,""), "")</f>
        <v/>
      </c>
    </row>
    <row r="303" spans="2:10" x14ac:dyDescent="0.25">
      <c r="B303" s="34" t="str">
        <f>IFERROR(IF(Prêt_Non_Payé*Valeurs_Entrées,Numéro_Paiement,""), "")</f>
        <v/>
      </c>
      <c r="C303" s="35" t="str">
        <f>IFERROR(IF(Prêt_Non_Payé*Valeurs_Entrées,Date_Paiement,""), "")</f>
        <v/>
      </c>
      <c r="D303" s="36" t="str">
        <f>IFERROR(IF(Prêt_Non_Payé*Valeurs_Entrées,Solde_Départ,""), "")</f>
        <v/>
      </c>
      <c r="E303" s="36" t="str">
        <f>IFERROR(IF(Prêt_Non_Payé*Valeurs_Entrées,Paiement_Mensuel,""), "")</f>
        <v/>
      </c>
      <c r="F303" s="36" t="str">
        <f>IFERROR(IF(Prêt_Non_Payé*Valeurs_Entrées,Capital,""), "")</f>
        <v/>
      </c>
      <c r="G303" s="36" t="str">
        <f>IFERROR(IF(Prêt_Non_Payé*Valeurs_Entrées,Intérêts,""), "")</f>
        <v/>
      </c>
      <c r="H303" s="36" t="str">
        <f>IFERROR(IF(Prêt_Non_Payé*Valeurs_Entrées,Solde_Final,""), "")</f>
        <v/>
      </c>
    </row>
    <row r="304" spans="2:10" x14ac:dyDescent="0.25">
      <c r="B304" s="34" t="str">
        <f>IFERROR(IF(Prêt_Non_Payé*Valeurs_Entrées,Numéro_Paiement,""), "")</f>
        <v/>
      </c>
      <c r="C304" s="35" t="str">
        <f>IFERROR(IF(Prêt_Non_Payé*Valeurs_Entrées,Date_Paiement,""), "")</f>
        <v/>
      </c>
      <c r="D304" s="36" t="str">
        <f>IFERROR(IF(Prêt_Non_Payé*Valeurs_Entrées,Solde_Départ,""), "")</f>
        <v/>
      </c>
      <c r="E304" s="36" t="str">
        <f>IFERROR(IF(Prêt_Non_Payé*Valeurs_Entrées,Paiement_Mensuel,""), "")</f>
        <v/>
      </c>
      <c r="F304" s="36" t="str">
        <f>IFERROR(IF(Prêt_Non_Payé*Valeurs_Entrées,Capital,""), "")</f>
        <v/>
      </c>
      <c r="G304" s="36" t="str">
        <f>IFERROR(IF(Prêt_Non_Payé*Valeurs_Entrées,Intérêts,""), "")</f>
        <v/>
      </c>
      <c r="H304" s="36" t="str">
        <f>IFERROR(IF(Prêt_Non_Payé*Valeurs_Entrées,Solde_Final,""), "")</f>
        <v/>
      </c>
    </row>
    <row r="305" spans="2:10" x14ac:dyDescent="0.25">
      <c r="B305" s="34" t="str">
        <f>IFERROR(IF(Prêt_Non_Payé*Valeurs_Entrées,Numéro_Paiement,""), "")</f>
        <v/>
      </c>
      <c r="C305" s="35" t="str">
        <f>IFERROR(IF(Prêt_Non_Payé*Valeurs_Entrées,Date_Paiement,""), "")</f>
        <v/>
      </c>
      <c r="D305" s="36" t="str">
        <f>IFERROR(IF(Prêt_Non_Payé*Valeurs_Entrées,Solde_Départ,""), "")</f>
        <v/>
      </c>
      <c r="E305" s="36" t="str">
        <f>IFERROR(IF(Prêt_Non_Payé*Valeurs_Entrées,Paiement_Mensuel,""), "")</f>
        <v/>
      </c>
      <c r="F305" s="36" t="str">
        <f>IFERROR(IF(Prêt_Non_Payé*Valeurs_Entrées,Capital,""), "")</f>
        <v/>
      </c>
      <c r="G305" s="36" t="str">
        <f>IFERROR(IF(Prêt_Non_Payé*Valeurs_Entrées,Intérêts,""), "")</f>
        <v/>
      </c>
      <c r="H305" s="36" t="str">
        <f>IFERROR(IF(Prêt_Non_Payé*Valeurs_Entrées,Solde_Final,""), "")</f>
        <v/>
      </c>
      <c r="J305" s="33">
        <f>IF(SUM(G289:G299)="",0,SUM(G289:G299))</f>
        <v>0</v>
      </c>
    </row>
    <row r="306" spans="2:10" x14ac:dyDescent="0.25">
      <c r="B306" s="34" t="str">
        <f>IFERROR(IF(Prêt_Non_Payé*Valeurs_Entrées,Numéro_Paiement,""), "")</f>
        <v/>
      </c>
      <c r="C306" s="35" t="str">
        <f>IFERROR(IF(Prêt_Non_Payé*Valeurs_Entrées,Date_Paiement,""), "")</f>
        <v/>
      </c>
      <c r="D306" s="36" t="str">
        <f>IFERROR(IF(Prêt_Non_Payé*Valeurs_Entrées,Solde_Départ,""), "")</f>
        <v/>
      </c>
      <c r="E306" s="36" t="str">
        <f>IFERROR(IF(Prêt_Non_Payé*Valeurs_Entrées,Paiement_Mensuel,""), "")</f>
        <v/>
      </c>
      <c r="F306" s="36" t="str">
        <f>IFERROR(IF(Prêt_Non_Payé*Valeurs_Entrées,Capital,""), "")</f>
        <v/>
      </c>
      <c r="G306" s="36" t="str">
        <f>IFERROR(IF(Prêt_Non_Payé*Valeurs_Entrées,Intérêts,""), "")</f>
        <v/>
      </c>
      <c r="H306" s="36" t="str">
        <f>IFERROR(IF(Prêt_Non_Payé*Valeurs_Entrées,Solde_Final,""), "")</f>
        <v/>
      </c>
    </row>
    <row r="307" spans="2:10" x14ac:dyDescent="0.25">
      <c r="B307" s="34" t="str">
        <f>IFERROR(IF(Prêt_Non_Payé*Valeurs_Entrées,Numéro_Paiement,""), "")</f>
        <v/>
      </c>
      <c r="C307" s="35" t="str">
        <f>IFERROR(IF(Prêt_Non_Payé*Valeurs_Entrées,Date_Paiement,""), "")</f>
        <v/>
      </c>
      <c r="D307" s="36" t="str">
        <f>IFERROR(IF(Prêt_Non_Payé*Valeurs_Entrées,Solde_Départ,""), "")</f>
        <v/>
      </c>
      <c r="E307" s="36" t="str">
        <f>IFERROR(IF(Prêt_Non_Payé*Valeurs_Entrées,Paiement_Mensuel,""), "")</f>
        <v/>
      </c>
      <c r="F307" s="36" t="str">
        <f>IFERROR(IF(Prêt_Non_Payé*Valeurs_Entrées,Capital,""), "")</f>
        <v/>
      </c>
      <c r="G307" s="36" t="str">
        <f>IFERROR(IF(Prêt_Non_Payé*Valeurs_Entrées,Intérêts,""), "")</f>
        <v/>
      </c>
      <c r="H307" s="36" t="str">
        <f>IFERROR(IF(Prêt_Non_Payé*Valeurs_Entrées,Solde_Final,""), "")</f>
        <v/>
      </c>
    </row>
    <row r="308" spans="2:10" x14ac:dyDescent="0.25">
      <c r="B308" s="34" t="str">
        <f>IFERROR(IF(Prêt_Non_Payé*Valeurs_Entrées,Numéro_Paiement,""), "")</f>
        <v/>
      </c>
      <c r="C308" s="35" t="str">
        <f>IFERROR(IF(Prêt_Non_Payé*Valeurs_Entrées,Date_Paiement,""), "")</f>
        <v/>
      </c>
      <c r="D308" s="36" t="str">
        <f>IFERROR(IF(Prêt_Non_Payé*Valeurs_Entrées,Solde_Départ,""), "")</f>
        <v/>
      </c>
      <c r="E308" s="36" t="str">
        <f>IFERROR(IF(Prêt_Non_Payé*Valeurs_Entrées,Paiement_Mensuel,""), "")</f>
        <v/>
      </c>
      <c r="F308" s="36" t="str">
        <f>IFERROR(IF(Prêt_Non_Payé*Valeurs_Entrées,Capital,""), "")</f>
        <v/>
      </c>
      <c r="G308" s="36" t="str">
        <f>IFERROR(IF(Prêt_Non_Payé*Valeurs_Entrées,Intérêts,""), "")</f>
        <v/>
      </c>
      <c r="H308" s="36" t="str">
        <f>IFERROR(IF(Prêt_Non_Payé*Valeurs_Entrées,Solde_Final,""), "")</f>
        <v/>
      </c>
    </row>
    <row r="309" spans="2:10" x14ac:dyDescent="0.25">
      <c r="B309" s="34" t="str">
        <f>IFERROR(IF(Prêt_Non_Payé*Valeurs_Entrées,Numéro_Paiement,""), "")</f>
        <v/>
      </c>
      <c r="C309" s="35" t="str">
        <f>IFERROR(IF(Prêt_Non_Payé*Valeurs_Entrées,Date_Paiement,""), "")</f>
        <v/>
      </c>
      <c r="D309" s="36" t="str">
        <f>IFERROR(IF(Prêt_Non_Payé*Valeurs_Entrées,Solde_Départ,""), "")</f>
        <v/>
      </c>
      <c r="E309" s="36" t="str">
        <f>IFERROR(IF(Prêt_Non_Payé*Valeurs_Entrées,Paiement_Mensuel,""), "")</f>
        <v/>
      </c>
      <c r="F309" s="36" t="str">
        <f>IFERROR(IF(Prêt_Non_Payé*Valeurs_Entrées,Capital,""), "")</f>
        <v/>
      </c>
      <c r="G309" s="36" t="str">
        <f>IFERROR(IF(Prêt_Non_Payé*Valeurs_Entrées,Intérêts,""), "")</f>
        <v/>
      </c>
      <c r="H309" s="36" t="str">
        <f>IFERROR(IF(Prêt_Non_Payé*Valeurs_Entrées,Solde_Final,""), "")</f>
        <v/>
      </c>
    </row>
    <row r="310" spans="2:10" x14ac:dyDescent="0.25">
      <c r="B310" s="34" t="str">
        <f>IFERROR(IF(Prêt_Non_Payé*Valeurs_Entrées,Numéro_Paiement,""), "")</f>
        <v/>
      </c>
      <c r="C310" s="35" t="str">
        <f>IFERROR(IF(Prêt_Non_Payé*Valeurs_Entrées,Date_Paiement,""), "")</f>
        <v/>
      </c>
      <c r="D310" s="36" t="str">
        <f>IFERROR(IF(Prêt_Non_Payé*Valeurs_Entrées,Solde_Départ,""), "")</f>
        <v/>
      </c>
      <c r="E310" s="36" t="str">
        <f>IFERROR(IF(Prêt_Non_Payé*Valeurs_Entrées,Paiement_Mensuel,""), "")</f>
        <v/>
      </c>
      <c r="F310" s="36" t="str">
        <f>IFERROR(IF(Prêt_Non_Payé*Valeurs_Entrées,Capital,""), "")</f>
        <v/>
      </c>
      <c r="G310" s="36" t="str">
        <f>IFERROR(IF(Prêt_Non_Payé*Valeurs_Entrées,Intérêts,""), "")</f>
        <v/>
      </c>
      <c r="H310" s="36" t="str">
        <f>IFERROR(IF(Prêt_Non_Payé*Valeurs_Entrées,Solde_Final,""), "")</f>
        <v/>
      </c>
    </row>
    <row r="311" spans="2:10" x14ac:dyDescent="0.25">
      <c r="B311" s="34" t="str">
        <f>IFERROR(IF(Prêt_Non_Payé*Valeurs_Entrées,Numéro_Paiement,""), "")</f>
        <v/>
      </c>
      <c r="C311" s="35" t="str">
        <f>IFERROR(IF(Prêt_Non_Payé*Valeurs_Entrées,Date_Paiement,""), "")</f>
        <v/>
      </c>
      <c r="D311" s="36" t="str">
        <f>IFERROR(IF(Prêt_Non_Payé*Valeurs_Entrées,Solde_Départ,""), "")</f>
        <v/>
      </c>
      <c r="E311" s="36" t="str">
        <f>IFERROR(IF(Prêt_Non_Payé*Valeurs_Entrées,Paiement_Mensuel,""), "")</f>
        <v/>
      </c>
      <c r="F311" s="36" t="str">
        <f>IFERROR(IF(Prêt_Non_Payé*Valeurs_Entrées,Capital,""), "")</f>
        <v/>
      </c>
      <c r="G311" s="36" t="str">
        <f>IFERROR(IF(Prêt_Non_Payé*Valeurs_Entrées,Intérêts,""), "")</f>
        <v/>
      </c>
      <c r="H311" s="36" t="str">
        <f>IFERROR(IF(Prêt_Non_Payé*Valeurs_Entrées,Solde_Final,""), "")</f>
        <v/>
      </c>
    </row>
    <row r="312" spans="2:10" x14ac:dyDescent="0.25">
      <c r="B312" s="34" t="str">
        <f>IFERROR(IF(Prêt_Non_Payé*Valeurs_Entrées,Numéro_Paiement,""), "")</f>
        <v/>
      </c>
      <c r="C312" s="35" t="str">
        <f>IFERROR(IF(Prêt_Non_Payé*Valeurs_Entrées,Date_Paiement,""), "")</f>
        <v/>
      </c>
      <c r="D312" s="36" t="str">
        <f>IFERROR(IF(Prêt_Non_Payé*Valeurs_Entrées,Solde_Départ,""), "")</f>
        <v/>
      </c>
      <c r="E312" s="36" t="str">
        <f>IFERROR(IF(Prêt_Non_Payé*Valeurs_Entrées,Paiement_Mensuel,""), "")</f>
        <v/>
      </c>
      <c r="F312" s="36" t="str">
        <f>IFERROR(IF(Prêt_Non_Payé*Valeurs_Entrées,Capital,""), "")</f>
        <v/>
      </c>
      <c r="G312" s="36" t="str">
        <f>IFERROR(IF(Prêt_Non_Payé*Valeurs_Entrées,Intérêts,""), "")</f>
        <v/>
      </c>
      <c r="H312" s="36" t="str">
        <f>IFERROR(IF(Prêt_Non_Payé*Valeurs_Entrées,Solde_Final,""), "")</f>
        <v/>
      </c>
    </row>
    <row r="313" spans="2:10" x14ac:dyDescent="0.25">
      <c r="B313" s="34" t="str">
        <f>IFERROR(IF(Prêt_Non_Payé*Valeurs_Entrées,Numéro_Paiement,""), "")</f>
        <v/>
      </c>
      <c r="C313" s="35" t="str">
        <f>IFERROR(IF(Prêt_Non_Payé*Valeurs_Entrées,Date_Paiement,""), "")</f>
        <v/>
      </c>
      <c r="D313" s="36" t="str">
        <f>IFERROR(IF(Prêt_Non_Payé*Valeurs_Entrées,Solde_Départ,""), "")</f>
        <v/>
      </c>
      <c r="E313" s="36" t="str">
        <f>IFERROR(IF(Prêt_Non_Payé*Valeurs_Entrées,Paiement_Mensuel,""), "")</f>
        <v/>
      </c>
      <c r="F313" s="36" t="str">
        <f>IFERROR(IF(Prêt_Non_Payé*Valeurs_Entrées,Capital,""), "")</f>
        <v/>
      </c>
      <c r="G313" s="36" t="str">
        <f>IFERROR(IF(Prêt_Non_Payé*Valeurs_Entrées,Intérêts,""), "")</f>
        <v/>
      </c>
      <c r="H313" s="36" t="str">
        <f>IFERROR(IF(Prêt_Non_Payé*Valeurs_Entrées,Solde_Final,""), "")</f>
        <v/>
      </c>
    </row>
    <row r="314" spans="2:10" x14ac:dyDescent="0.25">
      <c r="B314" s="34" t="str">
        <f>IFERROR(IF(Prêt_Non_Payé*Valeurs_Entrées,Numéro_Paiement,""), "")</f>
        <v/>
      </c>
      <c r="C314" s="35" t="str">
        <f>IFERROR(IF(Prêt_Non_Payé*Valeurs_Entrées,Date_Paiement,""), "")</f>
        <v/>
      </c>
      <c r="D314" s="36" t="str">
        <f>IFERROR(IF(Prêt_Non_Payé*Valeurs_Entrées,Solde_Départ,""), "")</f>
        <v/>
      </c>
      <c r="E314" s="36" t="str">
        <f>IFERROR(IF(Prêt_Non_Payé*Valeurs_Entrées,Paiement_Mensuel,""), "")</f>
        <v/>
      </c>
      <c r="F314" s="36" t="str">
        <f>IFERROR(IF(Prêt_Non_Payé*Valeurs_Entrées,Capital,""), "")</f>
        <v/>
      </c>
      <c r="G314" s="36" t="str">
        <f>IFERROR(IF(Prêt_Non_Payé*Valeurs_Entrées,Intérêts,""), "")</f>
        <v/>
      </c>
      <c r="H314" s="36" t="str">
        <f>IFERROR(IF(Prêt_Non_Payé*Valeurs_Entrées,Solde_Final,""), "")</f>
        <v/>
      </c>
    </row>
    <row r="315" spans="2:10" x14ac:dyDescent="0.25">
      <c r="B315" s="34" t="str">
        <f>IFERROR(IF(Prêt_Non_Payé*Valeurs_Entrées,Numéro_Paiement,""), "")</f>
        <v/>
      </c>
      <c r="C315" s="35" t="str">
        <f>IFERROR(IF(Prêt_Non_Payé*Valeurs_Entrées,Date_Paiement,""), "")</f>
        <v/>
      </c>
      <c r="D315" s="36" t="str">
        <f>IFERROR(IF(Prêt_Non_Payé*Valeurs_Entrées,Solde_Départ,""), "")</f>
        <v/>
      </c>
      <c r="E315" s="36" t="str">
        <f>IFERROR(IF(Prêt_Non_Payé*Valeurs_Entrées,Paiement_Mensuel,""), "")</f>
        <v/>
      </c>
      <c r="F315" s="36" t="str">
        <f>IFERROR(IF(Prêt_Non_Payé*Valeurs_Entrées,Capital,""), "")</f>
        <v/>
      </c>
      <c r="G315" s="36" t="str">
        <f>IFERROR(IF(Prêt_Non_Payé*Valeurs_Entrées,Intérêts,""), "")</f>
        <v/>
      </c>
      <c r="H315" s="36" t="str">
        <f>IFERROR(IF(Prêt_Non_Payé*Valeurs_Entrées,Solde_Final,""), "")</f>
        <v/>
      </c>
    </row>
    <row r="316" spans="2:10" x14ac:dyDescent="0.25">
      <c r="B316" s="34" t="str">
        <f>IFERROR(IF(Prêt_Non_Payé*Valeurs_Entrées,Numéro_Paiement,""), "")</f>
        <v/>
      </c>
      <c r="C316" s="35" t="str">
        <f>IFERROR(IF(Prêt_Non_Payé*Valeurs_Entrées,Date_Paiement,""), "")</f>
        <v/>
      </c>
      <c r="D316" s="36" t="str">
        <f>IFERROR(IF(Prêt_Non_Payé*Valeurs_Entrées,Solde_Départ,""), "")</f>
        <v/>
      </c>
      <c r="E316" s="36" t="str">
        <f>IFERROR(IF(Prêt_Non_Payé*Valeurs_Entrées,Paiement_Mensuel,""), "")</f>
        <v/>
      </c>
      <c r="F316" s="36" t="str">
        <f>IFERROR(IF(Prêt_Non_Payé*Valeurs_Entrées,Capital,""), "")</f>
        <v/>
      </c>
      <c r="G316" s="36" t="str">
        <f>IFERROR(IF(Prêt_Non_Payé*Valeurs_Entrées,Intérêts,""), "")</f>
        <v/>
      </c>
      <c r="H316" s="36" t="str">
        <f>IFERROR(IF(Prêt_Non_Payé*Valeurs_Entrées,Solde_Final,""), "")</f>
        <v/>
      </c>
    </row>
    <row r="317" spans="2:10" x14ac:dyDescent="0.25">
      <c r="B317" s="34" t="str">
        <f>IFERROR(IF(Prêt_Non_Payé*Valeurs_Entrées,Numéro_Paiement,""), "")</f>
        <v/>
      </c>
      <c r="C317" s="35" t="str">
        <f>IFERROR(IF(Prêt_Non_Payé*Valeurs_Entrées,Date_Paiement,""), "")</f>
        <v/>
      </c>
      <c r="D317" s="36" t="str">
        <f>IFERROR(IF(Prêt_Non_Payé*Valeurs_Entrées,Solde_Départ,""), "")</f>
        <v/>
      </c>
      <c r="E317" s="36" t="str">
        <f>IFERROR(IF(Prêt_Non_Payé*Valeurs_Entrées,Paiement_Mensuel,""), "")</f>
        <v/>
      </c>
      <c r="F317" s="36" t="str">
        <f>IFERROR(IF(Prêt_Non_Payé*Valeurs_Entrées,Capital,""), "")</f>
        <v/>
      </c>
      <c r="G317" s="36" t="str">
        <f>IFERROR(IF(Prêt_Non_Payé*Valeurs_Entrées,Intérêts,""), "")</f>
        <v/>
      </c>
      <c r="H317" s="36" t="str">
        <f>IFERROR(IF(Prêt_Non_Payé*Valeurs_Entrées,Solde_Final,""), "")</f>
        <v/>
      </c>
      <c r="J317" s="33">
        <f>SUM(G301:G312)</f>
        <v>0</v>
      </c>
    </row>
    <row r="318" spans="2:10" x14ac:dyDescent="0.25">
      <c r="B318" s="34" t="str">
        <f>IFERROR(IF(Prêt_Non_Payé*Valeurs_Entrées,Numéro_Paiement,""), "")</f>
        <v/>
      </c>
      <c r="C318" s="35" t="str">
        <f>IFERROR(IF(Prêt_Non_Payé*Valeurs_Entrées,Date_Paiement,""), "")</f>
        <v/>
      </c>
      <c r="D318" s="36" t="str">
        <f>IFERROR(IF(Prêt_Non_Payé*Valeurs_Entrées,Solde_Départ,""), "")</f>
        <v/>
      </c>
      <c r="E318" s="36" t="str">
        <f>IFERROR(IF(Prêt_Non_Payé*Valeurs_Entrées,Paiement_Mensuel,""), "")</f>
        <v/>
      </c>
      <c r="F318" s="36" t="str">
        <f>IFERROR(IF(Prêt_Non_Payé*Valeurs_Entrées,Capital,""), "")</f>
        <v/>
      </c>
      <c r="G318" s="36" t="str">
        <f>IFERROR(IF(Prêt_Non_Payé*Valeurs_Entrées,Intérêts,""), "")</f>
        <v/>
      </c>
      <c r="H318" s="36" t="str">
        <f>IFERROR(IF(Prêt_Non_Payé*Valeurs_Entrées,Solde_Final,""), "")</f>
        <v/>
      </c>
    </row>
    <row r="319" spans="2:10" x14ac:dyDescent="0.25">
      <c r="B319" s="34" t="str">
        <f>IFERROR(IF(Prêt_Non_Payé*Valeurs_Entrées,Numéro_Paiement,""), "")</f>
        <v/>
      </c>
      <c r="C319" s="35" t="str">
        <f>IFERROR(IF(Prêt_Non_Payé*Valeurs_Entrées,Date_Paiement,""), "")</f>
        <v/>
      </c>
      <c r="D319" s="36" t="str">
        <f>IFERROR(IF(Prêt_Non_Payé*Valeurs_Entrées,Solde_Départ,""), "")</f>
        <v/>
      </c>
      <c r="E319" s="36" t="str">
        <f>IFERROR(IF(Prêt_Non_Payé*Valeurs_Entrées,Paiement_Mensuel,""), "")</f>
        <v/>
      </c>
      <c r="F319" s="36" t="str">
        <f>IFERROR(IF(Prêt_Non_Payé*Valeurs_Entrées,Capital,""), "")</f>
        <v/>
      </c>
      <c r="G319" s="36" t="str">
        <f>IFERROR(IF(Prêt_Non_Payé*Valeurs_Entrées,Intérêts,""), "")</f>
        <v/>
      </c>
      <c r="H319" s="36" t="str">
        <f>IFERROR(IF(Prêt_Non_Payé*Valeurs_Entrées,Solde_Final,""), "")</f>
        <v/>
      </c>
    </row>
    <row r="320" spans="2:10" x14ac:dyDescent="0.25">
      <c r="B320" s="34" t="str">
        <f>IFERROR(IF(Prêt_Non_Payé*Valeurs_Entrées,Numéro_Paiement,""), "")</f>
        <v/>
      </c>
      <c r="C320" s="35" t="str">
        <f>IFERROR(IF(Prêt_Non_Payé*Valeurs_Entrées,Date_Paiement,""), "")</f>
        <v/>
      </c>
      <c r="D320" s="36" t="str">
        <f>IFERROR(IF(Prêt_Non_Payé*Valeurs_Entrées,Solde_Départ,""), "")</f>
        <v/>
      </c>
      <c r="E320" s="36" t="str">
        <f>IFERROR(IF(Prêt_Non_Payé*Valeurs_Entrées,Paiement_Mensuel,""), "")</f>
        <v/>
      </c>
      <c r="F320" s="36" t="str">
        <f>IFERROR(IF(Prêt_Non_Payé*Valeurs_Entrées,Capital,""), "")</f>
        <v/>
      </c>
      <c r="G320" s="36" t="str">
        <f>IFERROR(IF(Prêt_Non_Payé*Valeurs_Entrées,Intérêts,""), "")</f>
        <v/>
      </c>
      <c r="H320" s="36" t="str">
        <f>IFERROR(IF(Prêt_Non_Payé*Valeurs_Entrées,Solde_Final,""), "")</f>
        <v/>
      </c>
    </row>
    <row r="321" spans="2:10" x14ac:dyDescent="0.25">
      <c r="B321" s="34" t="str">
        <f>IFERROR(IF(Prêt_Non_Payé*Valeurs_Entrées,Numéro_Paiement,""), "")</f>
        <v/>
      </c>
      <c r="C321" s="35" t="str">
        <f>IFERROR(IF(Prêt_Non_Payé*Valeurs_Entrées,Date_Paiement,""), "")</f>
        <v/>
      </c>
      <c r="D321" s="36" t="str">
        <f>IFERROR(IF(Prêt_Non_Payé*Valeurs_Entrées,Solde_Départ,""), "")</f>
        <v/>
      </c>
      <c r="E321" s="36" t="str">
        <f>IFERROR(IF(Prêt_Non_Payé*Valeurs_Entrées,Paiement_Mensuel,""), "")</f>
        <v/>
      </c>
      <c r="F321" s="36" t="str">
        <f>IFERROR(IF(Prêt_Non_Payé*Valeurs_Entrées,Capital,""), "")</f>
        <v/>
      </c>
      <c r="G321" s="36" t="str">
        <f>IFERROR(IF(Prêt_Non_Payé*Valeurs_Entrées,Intérêts,""), "")</f>
        <v/>
      </c>
      <c r="H321" s="36" t="str">
        <f>IFERROR(IF(Prêt_Non_Payé*Valeurs_Entrées,Solde_Final,""), "")</f>
        <v/>
      </c>
    </row>
    <row r="322" spans="2:10" x14ac:dyDescent="0.25">
      <c r="B322" s="34" t="str">
        <f>IFERROR(IF(Prêt_Non_Payé*Valeurs_Entrées,Numéro_Paiement,""), "")</f>
        <v/>
      </c>
      <c r="C322" s="35" t="str">
        <f>IFERROR(IF(Prêt_Non_Payé*Valeurs_Entrées,Date_Paiement,""), "")</f>
        <v/>
      </c>
      <c r="D322" s="36" t="str">
        <f>IFERROR(IF(Prêt_Non_Payé*Valeurs_Entrées,Solde_Départ,""), "")</f>
        <v/>
      </c>
      <c r="E322" s="36" t="str">
        <f>IFERROR(IF(Prêt_Non_Payé*Valeurs_Entrées,Paiement_Mensuel,""), "")</f>
        <v/>
      </c>
      <c r="F322" s="36" t="str">
        <f>IFERROR(IF(Prêt_Non_Payé*Valeurs_Entrées,Capital,""), "")</f>
        <v/>
      </c>
      <c r="G322" s="36" t="str">
        <f>IFERROR(IF(Prêt_Non_Payé*Valeurs_Entrées,Intérêts,""), "")</f>
        <v/>
      </c>
      <c r="H322" s="36" t="str">
        <f>IFERROR(IF(Prêt_Non_Payé*Valeurs_Entrées,Solde_Final,""), "")</f>
        <v/>
      </c>
    </row>
    <row r="323" spans="2:10" x14ac:dyDescent="0.25">
      <c r="B323" s="34" t="str">
        <f>IFERROR(IF(Prêt_Non_Payé*Valeurs_Entrées,Numéro_Paiement,""), "")</f>
        <v/>
      </c>
      <c r="C323" s="35" t="str">
        <f>IFERROR(IF(Prêt_Non_Payé*Valeurs_Entrées,Date_Paiement,""), "")</f>
        <v/>
      </c>
      <c r="D323" s="36" t="str">
        <f>IFERROR(IF(Prêt_Non_Payé*Valeurs_Entrées,Solde_Départ,""), "")</f>
        <v/>
      </c>
      <c r="E323" s="36" t="str">
        <f>IFERROR(IF(Prêt_Non_Payé*Valeurs_Entrées,Paiement_Mensuel,""), "")</f>
        <v/>
      </c>
      <c r="F323" s="36" t="str">
        <f>IFERROR(IF(Prêt_Non_Payé*Valeurs_Entrées,Capital,""), "")</f>
        <v/>
      </c>
      <c r="G323" s="36" t="str">
        <f>IFERROR(IF(Prêt_Non_Payé*Valeurs_Entrées,Intérêts,""), "")</f>
        <v/>
      </c>
      <c r="H323" s="36" t="str">
        <f>IFERROR(IF(Prêt_Non_Payé*Valeurs_Entrées,Solde_Final,""), "")</f>
        <v/>
      </c>
    </row>
    <row r="324" spans="2:10" x14ac:dyDescent="0.25">
      <c r="B324" s="34" t="str">
        <f>IFERROR(IF(Prêt_Non_Payé*Valeurs_Entrées,Numéro_Paiement,""), "")</f>
        <v/>
      </c>
      <c r="C324" s="35" t="str">
        <f>IFERROR(IF(Prêt_Non_Payé*Valeurs_Entrées,Date_Paiement,""), "")</f>
        <v/>
      </c>
      <c r="D324" s="36" t="str">
        <f>IFERROR(IF(Prêt_Non_Payé*Valeurs_Entrées,Solde_Départ,""), "")</f>
        <v/>
      </c>
      <c r="E324" s="36" t="str">
        <f>IFERROR(IF(Prêt_Non_Payé*Valeurs_Entrées,Paiement_Mensuel,""), "")</f>
        <v/>
      </c>
      <c r="F324" s="36" t="str">
        <f>IFERROR(IF(Prêt_Non_Payé*Valeurs_Entrées,Capital,""), "")</f>
        <v/>
      </c>
      <c r="G324" s="36" t="str">
        <f>IFERROR(IF(Prêt_Non_Payé*Valeurs_Entrées,Intérêts,""), "")</f>
        <v/>
      </c>
      <c r="H324" s="36" t="str">
        <f>IFERROR(IF(Prêt_Non_Payé*Valeurs_Entrées,Solde_Final,""), "")</f>
        <v/>
      </c>
    </row>
    <row r="325" spans="2:10" x14ac:dyDescent="0.25">
      <c r="B325" s="34" t="str">
        <f>IFERROR(IF(Prêt_Non_Payé*Valeurs_Entrées,Numéro_Paiement,""), "")</f>
        <v/>
      </c>
      <c r="C325" s="35" t="str">
        <f>IFERROR(IF(Prêt_Non_Payé*Valeurs_Entrées,Date_Paiement,""), "")</f>
        <v/>
      </c>
      <c r="D325" s="36" t="str">
        <f>IFERROR(IF(Prêt_Non_Payé*Valeurs_Entrées,Solde_Départ,""), "")</f>
        <v/>
      </c>
      <c r="E325" s="36" t="str">
        <f>IFERROR(IF(Prêt_Non_Payé*Valeurs_Entrées,Paiement_Mensuel,""), "")</f>
        <v/>
      </c>
      <c r="F325" s="36" t="str">
        <f>IFERROR(IF(Prêt_Non_Payé*Valeurs_Entrées,Capital,""), "")</f>
        <v/>
      </c>
      <c r="G325" s="36" t="str">
        <f>IFERROR(IF(Prêt_Non_Payé*Valeurs_Entrées,Intérêts,""), "")</f>
        <v/>
      </c>
      <c r="H325" s="36" t="str">
        <f>IFERROR(IF(Prêt_Non_Payé*Valeurs_Entrées,Solde_Final,""), "")</f>
        <v/>
      </c>
    </row>
    <row r="326" spans="2:10" x14ac:dyDescent="0.25">
      <c r="B326" s="34" t="str">
        <f>IFERROR(IF(Prêt_Non_Payé*Valeurs_Entrées,Numéro_Paiement,""), "")</f>
        <v/>
      </c>
      <c r="C326" s="35" t="str">
        <f>IFERROR(IF(Prêt_Non_Payé*Valeurs_Entrées,Date_Paiement,""), "")</f>
        <v/>
      </c>
      <c r="D326" s="36" t="str">
        <f>IFERROR(IF(Prêt_Non_Payé*Valeurs_Entrées,Solde_Départ,""), "")</f>
        <v/>
      </c>
      <c r="E326" s="36" t="str">
        <f>IFERROR(IF(Prêt_Non_Payé*Valeurs_Entrées,Paiement_Mensuel,""), "")</f>
        <v/>
      </c>
      <c r="F326" s="36" t="str">
        <f>IFERROR(IF(Prêt_Non_Payé*Valeurs_Entrées,Capital,""), "")</f>
        <v/>
      </c>
      <c r="G326" s="36" t="str">
        <f>IFERROR(IF(Prêt_Non_Payé*Valeurs_Entrées,Intérêts,""), "")</f>
        <v/>
      </c>
      <c r="H326" s="36" t="str">
        <f>IFERROR(IF(Prêt_Non_Payé*Valeurs_Entrées,Solde_Final,""), "")</f>
        <v/>
      </c>
    </row>
    <row r="327" spans="2:10" x14ac:dyDescent="0.25">
      <c r="B327" s="34" t="str">
        <f>IFERROR(IF(Prêt_Non_Payé*Valeurs_Entrées,Numéro_Paiement,""), "")</f>
        <v/>
      </c>
      <c r="C327" s="35" t="str">
        <f>IFERROR(IF(Prêt_Non_Payé*Valeurs_Entrées,Date_Paiement,""), "")</f>
        <v/>
      </c>
      <c r="D327" s="36" t="str">
        <f>IFERROR(IF(Prêt_Non_Payé*Valeurs_Entrées,Solde_Départ,""), "")</f>
        <v/>
      </c>
      <c r="E327" s="36" t="str">
        <f>IFERROR(IF(Prêt_Non_Payé*Valeurs_Entrées,Paiement_Mensuel,""), "")</f>
        <v/>
      </c>
      <c r="F327" s="36" t="str">
        <f>IFERROR(IF(Prêt_Non_Payé*Valeurs_Entrées,Capital,""), "")</f>
        <v/>
      </c>
      <c r="G327" s="36" t="str">
        <f>IFERROR(IF(Prêt_Non_Payé*Valeurs_Entrées,Intérêts,""), "")</f>
        <v/>
      </c>
      <c r="H327" s="36" t="str">
        <f>IFERROR(IF(Prêt_Non_Payé*Valeurs_Entrées,Solde_Final,""), "")</f>
        <v/>
      </c>
    </row>
    <row r="328" spans="2:10" x14ac:dyDescent="0.25">
      <c r="B328" s="34" t="str">
        <f>IFERROR(IF(Prêt_Non_Payé*Valeurs_Entrées,Numéro_Paiement,""), "")</f>
        <v/>
      </c>
      <c r="C328" s="35" t="str">
        <f>IFERROR(IF(Prêt_Non_Payé*Valeurs_Entrées,Date_Paiement,""), "")</f>
        <v/>
      </c>
      <c r="D328" s="36" t="str">
        <f>IFERROR(IF(Prêt_Non_Payé*Valeurs_Entrées,Solde_Départ,""), "")</f>
        <v/>
      </c>
      <c r="E328" s="36" t="str">
        <f>IFERROR(IF(Prêt_Non_Payé*Valeurs_Entrées,Paiement_Mensuel,""), "")</f>
        <v/>
      </c>
      <c r="F328" s="36" t="str">
        <f>IFERROR(IF(Prêt_Non_Payé*Valeurs_Entrées,Capital,""), "")</f>
        <v/>
      </c>
      <c r="G328" s="36" t="str">
        <f>IFERROR(IF(Prêt_Non_Payé*Valeurs_Entrées,Intérêts,""), "")</f>
        <v/>
      </c>
      <c r="H328" s="36" t="str">
        <f>IFERROR(IF(Prêt_Non_Payé*Valeurs_Entrées,Solde_Final,""), "")</f>
        <v/>
      </c>
    </row>
    <row r="329" spans="2:10" x14ac:dyDescent="0.25">
      <c r="B329" s="34" t="str">
        <f>IFERROR(IF(Prêt_Non_Payé*Valeurs_Entrées,Numéro_Paiement,""), "")</f>
        <v/>
      </c>
      <c r="C329" s="35" t="str">
        <f>IFERROR(IF(Prêt_Non_Payé*Valeurs_Entrées,Date_Paiement,""), "")</f>
        <v/>
      </c>
      <c r="D329" s="36" t="str">
        <f>IFERROR(IF(Prêt_Non_Payé*Valeurs_Entrées,Solde_Départ,""), "")</f>
        <v/>
      </c>
      <c r="E329" s="36" t="str">
        <f>IFERROR(IF(Prêt_Non_Payé*Valeurs_Entrées,Paiement_Mensuel,""), "")</f>
        <v/>
      </c>
      <c r="F329" s="36" t="str">
        <f>IFERROR(IF(Prêt_Non_Payé*Valeurs_Entrées,Capital,""), "")</f>
        <v/>
      </c>
      <c r="G329" s="36" t="str">
        <f>IFERROR(IF(Prêt_Non_Payé*Valeurs_Entrées,Intérêts,""), "")</f>
        <v/>
      </c>
      <c r="H329" s="36" t="str">
        <f>IFERROR(IF(Prêt_Non_Payé*Valeurs_Entrées,Solde_Final,""), "")</f>
        <v/>
      </c>
      <c r="J329" s="33">
        <f>SUM(G313:G324)</f>
        <v>0</v>
      </c>
    </row>
    <row r="330" spans="2:10" x14ac:dyDescent="0.25">
      <c r="B330" s="34" t="str">
        <f>IFERROR(IF(Prêt_Non_Payé*Valeurs_Entrées,Numéro_Paiement,""), "")</f>
        <v/>
      </c>
      <c r="C330" s="35" t="str">
        <f>IFERROR(IF(Prêt_Non_Payé*Valeurs_Entrées,Date_Paiement,""), "")</f>
        <v/>
      </c>
      <c r="D330" s="36" t="str">
        <f>IFERROR(IF(Prêt_Non_Payé*Valeurs_Entrées,Solde_Départ,""), "")</f>
        <v/>
      </c>
      <c r="E330" s="36" t="str">
        <f>IFERROR(IF(Prêt_Non_Payé*Valeurs_Entrées,Paiement_Mensuel,""), "")</f>
        <v/>
      </c>
      <c r="F330" s="36" t="str">
        <f>IFERROR(IF(Prêt_Non_Payé*Valeurs_Entrées,Capital,""), "")</f>
        <v/>
      </c>
      <c r="G330" s="36" t="str">
        <f>IFERROR(IF(Prêt_Non_Payé*Valeurs_Entrées,Intérêts,""), "")</f>
        <v/>
      </c>
      <c r="H330" s="36" t="str">
        <f>IFERROR(IF(Prêt_Non_Payé*Valeurs_Entrées,Solde_Final,""), "")</f>
        <v/>
      </c>
    </row>
    <row r="331" spans="2:10" x14ac:dyDescent="0.25">
      <c r="B331" s="34" t="str">
        <f>IFERROR(IF(Prêt_Non_Payé*Valeurs_Entrées,Numéro_Paiement,""), "")</f>
        <v/>
      </c>
      <c r="C331" s="35" t="str">
        <f>IFERROR(IF(Prêt_Non_Payé*Valeurs_Entrées,Date_Paiement,""), "")</f>
        <v/>
      </c>
      <c r="D331" s="36" t="str">
        <f>IFERROR(IF(Prêt_Non_Payé*Valeurs_Entrées,Solde_Départ,""), "")</f>
        <v/>
      </c>
      <c r="E331" s="36" t="str">
        <f>IFERROR(IF(Prêt_Non_Payé*Valeurs_Entrées,Paiement_Mensuel,""), "")</f>
        <v/>
      </c>
      <c r="F331" s="36" t="str">
        <f>IFERROR(IF(Prêt_Non_Payé*Valeurs_Entrées,Capital,""), "")</f>
        <v/>
      </c>
      <c r="G331" s="36" t="str">
        <f>IFERROR(IF(Prêt_Non_Payé*Valeurs_Entrées,Intérêts,""), "")</f>
        <v/>
      </c>
      <c r="H331" s="36" t="str">
        <f>IFERROR(IF(Prêt_Non_Payé*Valeurs_Entrées,Solde_Final,""), "")</f>
        <v/>
      </c>
    </row>
    <row r="332" spans="2:10" x14ac:dyDescent="0.25">
      <c r="B332" s="34" t="str">
        <f>IFERROR(IF(Prêt_Non_Payé*Valeurs_Entrées,Numéro_Paiement,""), "")</f>
        <v/>
      </c>
      <c r="C332" s="35" t="str">
        <f>IFERROR(IF(Prêt_Non_Payé*Valeurs_Entrées,Date_Paiement,""), "")</f>
        <v/>
      </c>
      <c r="D332" s="36" t="str">
        <f>IFERROR(IF(Prêt_Non_Payé*Valeurs_Entrées,Solde_Départ,""), "")</f>
        <v/>
      </c>
      <c r="E332" s="36" t="str">
        <f>IFERROR(IF(Prêt_Non_Payé*Valeurs_Entrées,Paiement_Mensuel,""), "")</f>
        <v/>
      </c>
      <c r="F332" s="36" t="str">
        <f>IFERROR(IF(Prêt_Non_Payé*Valeurs_Entrées,Capital,""), "")</f>
        <v/>
      </c>
      <c r="G332" s="36" t="str">
        <f>IFERROR(IF(Prêt_Non_Payé*Valeurs_Entrées,Intérêts,""), "")</f>
        <v/>
      </c>
      <c r="H332" s="36" t="str">
        <f>IFERROR(IF(Prêt_Non_Payé*Valeurs_Entrées,Solde_Final,""), "")</f>
        <v/>
      </c>
    </row>
    <row r="333" spans="2:10" x14ac:dyDescent="0.25">
      <c r="B333" s="34" t="str">
        <f>IFERROR(IF(Prêt_Non_Payé*Valeurs_Entrées,Numéro_Paiement,""), "")</f>
        <v/>
      </c>
      <c r="C333" s="35" t="str">
        <f>IFERROR(IF(Prêt_Non_Payé*Valeurs_Entrées,Date_Paiement,""), "")</f>
        <v/>
      </c>
      <c r="D333" s="36" t="str">
        <f>IFERROR(IF(Prêt_Non_Payé*Valeurs_Entrées,Solde_Départ,""), "")</f>
        <v/>
      </c>
      <c r="E333" s="36" t="str">
        <f>IFERROR(IF(Prêt_Non_Payé*Valeurs_Entrées,Paiement_Mensuel,""), "")</f>
        <v/>
      </c>
      <c r="F333" s="36" t="str">
        <f>IFERROR(IF(Prêt_Non_Payé*Valeurs_Entrées,Capital,""), "")</f>
        <v/>
      </c>
      <c r="G333" s="36" t="str">
        <f>IFERROR(IF(Prêt_Non_Payé*Valeurs_Entrées,Intérêts,""), "")</f>
        <v/>
      </c>
      <c r="H333" s="36" t="str">
        <f>IFERROR(IF(Prêt_Non_Payé*Valeurs_Entrées,Solde_Final,""), "")</f>
        <v/>
      </c>
    </row>
    <row r="334" spans="2:10" x14ac:dyDescent="0.25">
      <c r="B334" s="34" t="str">
        <f>IFERROR(IF(Prêt_Non_Payé*Valeurs_Entrées,Numéro_Paiement,""), "")</f>
        <v/>
      </c>
      <c r="C334" s="35" t="str">
        <f>IFERROR(IF(Prêt_Non_Payé*Valeurs_Entrées,Date_Paiement,""), "")</f>
        <v/>
      </c>
      <c r="D334" s="36" t="str">
        <f>IFERROR(IF(Prêt_Non_Payé*Valeurs_Entrées,Solde_Départ,""), "")</f>
        <v/>
      </c>
      <c r="E334" s="36" t="str">
        <f>IFERROR(IF(Prêt_Non_Payé*Valeurs_Entrées,Paiement_Mensuel,""), "")</f>
        <v/>
      </c>
      <c r="F334" s="36" t="str">
        <f>IFERROR(IF(Prêt_Non_Payé*Valeurs_Entrées,Capital,""), "")</f>
        <v/>
      </c>
      <c r="G334" s="36" t="str">
        <f>IFERROR(IF(Prêt_Non_Payé*Valeurs_Entrées,Intérêts,""), "")</f>
        <v/>
      </c>
      <c r="H334" s="36" t="str">
        <f>IFERROR(IF(Prêt_Non_Payé*Valeurs_Entrées,Solde_Final,""), "")</f>
        <v/>
      </c>
    </row>
    <row r="335" spans="2:10" x14ac:dyDescent="0.25">
      <c r="B335" s="34" t="str">
        <f>IFERROR(IF(Prêt_Non_Payé*Valeurs_Entrées,Numéro_Paiement,""), "")</f>
        <v/>
      </c>
      <c r="C335" s="35" t="str">
        <f>IFERROR(IF(Prêt_Non_Payé*Valeurs_Entrées,Date_Paiement,""), "")</f>
        <v/>
      </c>
      <c r="D335" s="36" t="str">
        <f>IFERROR(IF(Prêt_Non_Payé*Valeurs_Entrées,Solde_Départ,""), "")</f>
        <v/>
      </c>
      <c r="E335" s="36" t="str">
        <f>IFERROR(IF(Prêt_Non_Payé*Valeurs_Entrées,Paiement_Mensuel,""), "")</f>
        <v/>
      </c>
      <c r="F335" s="36" t="str">
        <f>IFERROR(IF(Prêt_Non_Payé*Valeurs_Entrées,Capital,""), "")</f>
        <v/>
      </c>
      <c r="G335" s="36" t="str">
        <f>IFERROR(IF(Prêt_Non_Payé*Valeurs_Entrées,Intérêts,""), "")</f>
        <v/>
      </c>
      <c r="H335" s="36" t="str">
        <f>IFERROR(IF(Prêt_Non_Payé*Valeurs_Entrées,Solde_Final,""), "")</f>
        <v/>
      </c>
    </row>
    <row r="336" spans="2:10" x14ac:dyDescent="0.25">
      <c r="B336" s="34" t="str">
        <f>IFERROR(IF(Prêt_Non_Payé*Valeurs_Entrées,Numéro_Paiement,""), "")</f>
        <v/>
      </c>
      <c r="C336" s="35" t="str">
        <f>IFERROR(IF(Prêt_Non_Payé*Valeurs_Entrées,Date_Paiement,""), "")</f>
        <v/>
      </c>
      <c r="D336" s="36" t="str">
        <f>IFERROR(IF(Prêt_Non_Payé*Valeurs_Entrées,Solde_Départ,""), "")</f>
        <v/>
      </c>
      <c r="E336" s="36" t="str">
        <f>IFERROR(IF(Prêt_Non_Payé*Valeurs_Entrées,Paiement_Mensuel,""), "")</f>
        <v/>
      </c>
      <c r="F336" s="36" t="str">
        <f>IFERROR(IF(Prêt_Non_Payé*Valeurs_Entrées,Capital,""), "")</f>
        <v/>
      </c>
      <c r="G336" s="36" t="str">
        <f>IFERROR(IF(Prêt_Non_Payé*Valeurs_Entrées,Intérêts,""), "")</f>
        <v/>
      </c>
      <c r="H336" s="36" t="str">
        <f>IFERROR(IF(Prêt_Non_Payé*Valeurs_Entrées,Solde_Final,""), "")</f>
        <v/>
      </c>
    </row>
    <row r="337" spans="2:10" x14ac:dyDescent="0.25">
      <c r="B337" s="34" t="str">
        <f>IFERROR(IF(Prêt_Non_Payé*Valeurs_Entrées,Numéro_Paiement,""), "")</f>
        <v/>
      </c>
      <c r="C337" s="35" t="str">
        <f>IFERROR(IF(Prêt_Non_Payé*Valeurs_Entrées,Date_Paiement,""), "")</f>
        <v/>
      </c>
      <c r="D337" s="36" t="str">
        <f>IFERROR(IF(Prêt_Non_Payé*Valeurs_Entrées,Solde_Départ,""), "")</f>
        <v/>
      </c>
      <c r="E337" s="36" t="str">
        <f>IFERROR(IF(Prêt_Non_Payé*Valeurs_Entrées,Paiement_Mensuel,""), "")</f>
        <v/>
      </c>
      <c r="F337" s="36" t="str">
        <f>IFERROR(IF(Prêt_Non_Payé*Valeurs_Entrées,Capital,""), "")</f>
        <v/>
      </c>
      <c r="G337" s="36" t="str">
        <f>IFERROR(IF(Prêt_Non_Payé*Valeurs_Entrées,Intérêts,""), "")</f>
        <v/>
      </c>
      <c r="H337" s="36" t="str">
        <f>IFERROR(IF(Prêt_Non_Payé*Valeurs_Entrées,Solde_Final,""), "")</f>
        <v/>
      </c>
    </row>
    <row r="338" spans="2:10" x14ac:dyDescent="0.25">
      <c r="B338" s="34" t="str">
        <f>IFERROR(IF(Prêt_Non_Payé*Valeurs_Entrées,Numéro_Paiement,""), "")</f>
        <v/>
      </c>
      <c r="C338" s="35" t="str">
        <f>IFERROR(IF(Prêt_Non_Payé*Valeurs_Entrées,Date_Paiement,""), "")</f>
        <v/>
      </c>
      <c r="D338" s="36" t="str">
        <f>IFERROR(IF(Prêt_Non_Payé*Valeurs_Entrées,Solde_Départ,""), "")</f>
        <v/>
      </c>
      <c r="E338" s="36" t="str">
        <f>IFERROR(IF(Prêt_Non_Payé*Valeurs_Entrées,Paiement_Mensuel,""), "")</f>
        <v/>
      </c>
      <c r="F338" s="36" t="str">
        <f>IFERROR(IF(Prêt_Non_Payé*Valeurs_Entrées,Capital,""), "")</f>
        <v/>
      </c>
      <c r="G338" s="36" t="str">
        <f>IFERROR(IF(Prêt_Non_Payé*Valeurs_Entrées,Intérêts,""), "")</f>
        <v/>
      </c>
      <c r="H338" s="36" t="str">
        <f>IFERROR(IF(Prêt_Non_Payé*Valeurs_Entrées,Solde_Final,""), "")</f>
        <v/>
      </c>
    </row>
    <row r="339" spans="2:10" x14ac:dyDescent="0.25">
      <c r="B339" s="34" t="str">
        <f>IFERROR(IF(Prêt_Non_Payé*Valeurs_Entrées,Numéro_Paiement,""), "")</f>
        <v/>
      </c>
      <c r="C339" s="35" t="str">
        <f>IFERROR(IF(Prêt_Non_Payé*Valeurs_Entrées,Date_Paiement,""), "")</f>
        <v/>
      </c>
      <c r="D339" s="36" t="str">
        <f>IFERROR(IF(Prêt_Non_Payé*Valeurs_Entrées,Solde_Départ,""), "")</f>
        <v/>
      </c>
      <c r="E339" s="36" t="str">
        <f>IFERROR(IF(Prêt_Non_Payé*Valeurs_Entrées,Paiement_Mensuel,""), "")</f>
        <v/>
      </c>
      <c r="F339" s="36" t="str">
        <f>IFERROR(IF(Prêt_Non_Payé*Valeurs_Entrées,Capital,""), "")</f>
        <v/>
      </c>
      <c r="G339" s="36" t="str">
        <f>IFERROR(IF(Prêt_Non_Payé*Valeurs_Entrées,Intérêts,""), "")</f>
        <v/>
      </c>
      <c r="H339" s="36" t="str">
        <f>IFERROR(IF(Prêt_Non_Payé*Valeurs_Entrées,Solde_Final,""), "")</f>
        <v/>
      </c>
    </row>
    <row r="340" spans="2:10" x14ac:dyDescent="0.25">
      <c r="B340" s="34" t="str">
        <f>IFERROR(IF(Prêt_Non_Payé*Valeurs_Entrées,Numéro_Paiement,""), "")</f>
        <v/>
      </c>
      <c r="C340" s="35" t="str">
        <f>IFERROR(IF(Prêt_Non_Payé*Valeurs_Entrées,Date_Paiement,""), "")</f>
        <v/>
      </c>
      <c r="D340" s="36" t="str">
        <f>IFERROR(IF(Prêt_Non_Payé*Valeurs_Entrées,Solde_Départ,""), "")</f>
        <v/>
      </c>
      <c r="E340" s="36" t="str">
        <f>IFERROR(IF(Prêt_Non_Payé*Valeurs_Entrées,Paiement_Mensuel,""), "")</f>
        <v/>
      </c>
      <c r="F340" s="36" t="str">
        <f>IFERROR(IF(Prêt_Non_Payé*Valeurs_Entrées,Capital,""), "")</f>
        <v/>
      </c>
      <c r="G340" s="36" t="str">
        <f>IFERROR(IF(Prêt_Non_Payé*Valeurs_Entrées,Intérêts,""), "")</f>
        <v/>
      </c>
      <c r="H340" s="36" t="str">
        <f>IFERROR(IF(Prêt_Non_Payé*Valeurs_Entrées,Solde_Final,""), "")</f>
        <v/>
      </c>
    </row>
    <row r="341" spans="2:10" x14ac:dyDescent="0.25">
      <c r="B341" s="34" t="str">
        <f>IFERROR(IF(Prêt_Non_Payé*Valeurs_Entrées,Numéro_Paiement,""), "")</f>
        <v/>
      </c>
      <c r="C341" s="35" t="str">
        <f>IFERROR(IF(Prêt_Non_Payé*Valeurs_Entrées,Date_Paiement,""), "")</f>
        <v/>
      </c>
      <c r="D341" s="36" t="str">
        <f>IFERROR(IF(Prêt_Non_Payé*Valeurs_Entrées,Solde_Départ,""), "")</f>
        <v/>
      </c>
      <c r="E341" s="36" t="str">
        <f>IFERROR(IF(Prêt_Non_Payé*Valeurs_Entrées,Paiement_Mensuel,""), "")</f>
        <v/>
      </c>
      <c r="F341" s="36" t="str">
        <f>IFERROR(IF(Prêt_Non_Payé*Valeurs_Entrées,Capital,""), "")</f>
        <v/>
      </c>
      <c r="G341" s="36" t="str">
        <f>IFERROR(IF(Prêt_Non_Payé*Valeurs_Entrées,Intérêts,""), "")</f>
        <v/>
      </c>
      <c r="H341" s="36" t="str">
        <f>IFERROR(IF(Prêt_Non_Payé*Valeurs_Entrées,Solde_Final,""), "")</f>
        <v/>
      </c>
      <c r="J341" s="33">
        <f>SUM(G325:G336)</f>
        <v>0</v>
      </c>
    </row>
    <row r="342" spans="2:10" x14ac:dyDescent="0.25">
      <c r="B342" s="34" t="str">
        <f>IFERROR(IF(Prêt_Non_Payé*Valeurs_Entrées,Numéro_Paiement,""), "")</f>
        <v/>
      </c>
      <c r="C342" s="35" t="str">
        <f>IFERROR(IF(Prêt_Non_Payé*Valeurs_Entrées,Date_Paiement,""), "")</f>
        <v/>
      </c>
      <c r="D342" s="36" t="str">
        <f>IFERROR(IF(Prêt_Non_Payé*Valeurs_Entrées,Solde_Départ,""), "")</f>
        <v/>
      </c>
      <c r="E342" s="36" t="str">
        <f>IFERROR(IF(Prêt_Non_Payé*Valeurs_Entrées,Paiement_Mensuel,""), "")</f>
        <v/>
      </c>
      <c r="F342" s="36" t="str">
        <f>IFERROR(IF(Prêt_Non_Payé*Valeurs_Entrées,Capital,""), "")</f>
        <v/>
      </c>
      <c r="G342" s="36" t="str">
        <f>IFERROR(IF(Prêt_Non_Payé*Valeurs_Entrées,Intérêts,""), "")</f>
        <v/>
      </c>
      <c r="H342" s="36" t="str">
        <f>IFERROR(IF(Prêt_Non_Payé*Valeurs_Entrées,Solde_Final,""), "")</f>
        <v/>
      </c>
    </row>
    <row r="343" spans="2:10" x14ac:dyDescent="0.25">
      <c r="B343" s="34" t="str">
        <f>IFERROR(IF(Prêt_Non_Payé*Valeurs_Entrées,Numéro_Paiement,""), "")</f>
        <v/>
      </c>
      <c r="C343" s="35" t="str">
        <f>IFERROR(IF(Prêt_Non_Payé*Valeurs_Entrées,Date_Paiement,""), "")</f>
        <v/>
      </c>
      <c r="D343" s="36" t="str">
        <f>IFERROR(IF(Prêt_Non_Payé*Valeurs_Entrées,Solde_Départ,""), "")</f>
        <v/>
      </c>
      <c r="E343" s="36" t="str">
        <f>IFERROR(IF(Prêt_Non_Payé*Valeurs_Entrées,Paiement_Mensuel,""), "")</f>
        <v/>
      </c>
      <c r="F343" s="36" t="str">
        <f>IFERROR(IF(Prêt_Non_Payé*Valeurs_Entrées,Capital,""), "")</f>
        <v/>
      </c>
      <c r="G343" s="36" t="str">
        <f>IFERROR(IF(Prêt_Non_Payé*Valeurs_Entrées,Intérêts,""), "")</f>
        <v/>
      </c>
      <c r="H343" s="36" t="str">
        <f>IFERROR(IF(Prêt_Non_Payé*Valeurs_Entrées,Solde_Final,""), "")</f>
        <v/>
      </c>
    </row>
    <row r="344" spans="2:10" x14ac:dyDescent="0.25">
      <c r="B344" s="34" t="str">
        <f>IFERROR(IF(Prêt_Non_Payé*Valeurs_Entrées,Numéro_Paiement,""), "")</f>
        <v/>
      </c>
      <c r="C344" s="35" t="str">
        <f>IFERROR(IF(Prêt_Non_Payé*Valeurs_Entrées,Date_Paiement,""), "")</f>
        <v/>
      </c>
      <c r="D344" s="36" t="str">
        <f>IFERROR(IF(Prêt_Non_Payé*Valeurs_Entrées,Solde_Départ,""), "")</f>
        <v/>
      </c>
      <c r="E344" s="36" t="str">
        <f>IFERROR(IF(Prêt_Non_Payé*Valeurs_Entrées,Paiement_Mensuel,""), "")</f>
        <v/>
      </c>
      <c r="F344" s="36" t="str">
        <f>IFERROR(IF(Prêt_Non_Payé*Valeurs_Entrées,Capital,""), "")</f>
        <v/>
      </c>
      <c r="G344" s="36" t="str">
        <f>IFERROR(IF(Prêt_Non_Payé*Valeurs_Entrées,Intérêts,""), "")</f>
        <v/>
      </c>
      <c r="H344" s="36" t="str">
        <f>IFERROR(IF(Prêt_Non_Payé*Valeurs_Entrées,Solde_Final,""), "")</f>
        <v/>
      </c>
    </row>
    <row r="345" spans="2:10" x14ac:dyDescent="0.25">
      <c r="B345" s="34" t="str">
        <f>IFERROR(IF(Prêt_Non_Payé*Valeurs_Entrées,Numéro_Paiement,""), "")</f>
        <v/>
      </c>
      <c r="C345" s="35" t="str">
        <f>IFERROR(IF(Prêt_Non_Payé*Valeurs_Entrées,Date_Paiement,""), "")</f>
        <v/>
      </c>
      <c r="D345" s="36" t="str">
        <f>IFERROR(IF(Prêt_Non_Payé*Valeurs_Entrées,Solde_Départ,""), "")</f>
        <v/>
      </c>
      <c r="E345" s="36" t="str">
        <f>IFERROR(IF(Prêt_Non_Payé*Valeurs_Entrées,Paiement_Mensuel,""), "")</f>
        <v/>
      </c>
      <c r="F345" s="36" t="str">
        <f>IFERROR(IF(Prêt_Non_Payé*Valeurs_Entrées,Capital,""), "")</f>
        <v/>
      </c>
      <c r="G345" s="36" t="str">
        <f>IFERROR(IF(Prêt_Non_Payé*Valeurs_Entrées,Intérêts,""), "")</f>
        <v/>
      </c>
      <c r="H345" s="36" t="str">
        <f>IFERROR(IF(Prêt_Non_Payé*Valeurs_Entrées,Solde_Final,""), "")</f>
        <v/>
      </c>
    </row>
    <row r="346" spans="2:10" x14ac:dyDescent="0.25">
      <c r="B346" s="34" t="str">
        <f>IFERROR(IF(Prêt_Non_Payé*Valeurs_Entrées,Numéro_Paiement,""), "")</f>
        <v/>
      </c>
      <c r="C346" s="35" t="str">
        <f>IFERROR(IF(Prêt_Non_Payé*Valeurs_Entrées,Date_Paiement,""), "")</f>
        <v/>
      </c>
      <c r="D346" s="36" t="str">
        <f>IFERROR(IF(Prêt_Non_Payé*Valeurs_Entrées,Solde_Départ,""), "")</f>
        <v/>
      </c>
      <c r="E346" s="36" t="str">
        <f>IFERROR(IF(Prêt_Non_Payé*Valeurs_Entrées,Paiement_Mensuel,""), "")</f>
        <v/>
      </c>
      <c r="F346" s="36" t="str">
        <f>IFERROR(IF(Prêt_Non_Payé*Valeurs_Entrées,Capital,""), "")</f>
        <v/>
      </c>
      <c r="G346" s="36" t="str">
        <f>IFERROR(IF(Prêt_Non_Payé*Valeurs_Entrées,Intérêts,""), "")</f>
        <v/>
      </c>
      <c r="H346" s="36" t="str">
        <f>IFERROR(IF(Prêt_Non_Payé*Valeurs_Entrées,Solde_Final,""), "")</f>
        <v/>
      </c>
    </row>
    <row r="347" spans="2:10" x14ac:dyDescent="0.25">
      <c r="B347" s="34" t="str">
        <f>IFERROR(IF(Prêt_Non_Payé*Valeurs_Entrées,Numéro_Paiement,""), "")</f>
        <v/>
      </c>
      <c r="C347" s="35" t="str">
        <f>IFERROR(IF(Prêt_Non_Payé*Valeurs_Entrées,Date_Paiement,""), "")</f>
        <v/>
      </c>
      <c r="D347" s="36" t="str">
        <f>IFERROR(IF(Prêt_Non_Payé*Valeurs_Entrées,Solde_Départ,""), "")</f>
        <v/>
      </c>
      <c r="E347" s="36" t="str">
        <f>IFERROR(IF(Prêt_Non_Payé*Valeurs_Entrées,Paiement_Mensuel,""), "")</f>
        <v/>
      </c>
      <c r="F347" s="36" t="str">
        <f>IFERROR(IF(Prêt_Non_Payé*Valeurs_Entrées,Capital,""), "")</f>
        <v/>
      </c>
      <c r="G347" s="36" t="str">
        <f>IFERROR(IF(Prêt_Non_Payé*Valeurs_Entrées,Intérêts,""), "")</f>
        <v/>
      </c>
      <c r="H347" s="36" t="str">
        <f>IFERROR(IF(Prêt_Non_Payé*Valeurs_Entrées,Solde_Final,""), "")</f>
        <v/>
      </c>
    </row>
    <row r="348" spans="2:10" x14ac:dyDescent="0.25">
      <c r="B348" s="34" t="str">
        <f>IFERROR(IF(Prêt_Non_Payé*Valeurs_Entrées,Numéro_Paiement,""), "")</f>
        <v/>
      </c>
      <c r="C348" s="35" t="str">
        <f>IFERROR(IF(Prêt_Non_Payé*Valeurs_Entrées,Date_Paiement,""), "")</f>
        <v/>
      </c>
      <c r="D348" s="36" t="str">
        <f>IFERROR(IF(Prêt_Non_Payé*Valeurs_Entrées,Solde_Départ,""), "")</f>
        <v/>
      </c>
      <c r="E348" s="36" t="str">
        <f>IFERROR(IF(Prêt_Non_Payé*Valeurs_Entrées,Paiement_Mensuel,""), "")</f>
        <v/>
      </c>
      <c r="F348" s="36" t="str">
        <f>IFERROR(IF(Prêt_Non_Payé*Valeurs_Entrées,Capital,""), "")</f>
        <v/>
      </c>
      <c r="G348" s="36" t="str">
        <f>IFERROR(IF(Prêt_Non_Payé*Valeurs_Entrées,Intérêts,""), "")</f>
        <v/>
      </c>
      <c r="H348" s="36" t="str">
        <f>IFERROR(IF(Prêt_Non_Payé*Valeurs_Entrées,Solde_Final,""), "")</f>
        <v/>
      </c>
    </row>
    <row r="349" spans="2:10" x14ac:dyDescent="0.25">
      <c r="B349" s="34" t="str">
        <f>IFERROR(IF(Prêt_Non_Payé*Valeurs_Entrées,Numéro_Paiement,""), "")</f>
        <v/>
      </c>
      <c r="C349" s="35" t="str">
        <f>IFERROR(IF(Prêt_Non_Payé*Valeurs_Entrées,Date_Paiement,""), "")</f>
        <v/>
      </c>
      <c r="D349" s="36" t="str">
        <f>IFERROR(IF(Prêt_Non_Payé*Valeurs_Entrées,Solde_Départ,""), "")</f>
        <v/>
      </c>
      <c r="E349" s="36" t="str">
        <f>IFERROR(IF(Prêt_Non_Payé*Valeurs_Entrées,Paiement_Mensuel,""), "")</f>
        <v/>
      </c>
      <c r="F349" s="36" t="str">
        <f>IFERROR(IF(Prêt_Non_Payé*Valeurs_Entrées,Capital,""), "")</f>
        <v/>
      </c>
      <c r="G349" s="36" t="str">
        <f>IFERROR(IF(Prêt_Non_Payé*Valeurs_Entrées,Intérêts,""), "")</f>
        <v/>
      </c>
      <c r="H349" s="36" t="str">
        <f>IFERROR(IF(Prêt_Non_Payé*Valeurs_Entrées,Solde_Final,""), "")</f>
        <v/>
      </c>
    </row>
    <row r="350" spans="2:10" x14ac:dyDescent="0.25">
      <c r="B350" s="34" t="str">
        <f>IFERROR(IF(Prêt_Non_Payé*Valeurs_Entrées,Numéro_Paiement,""), "")</f>
        <v/>
      </c>
      <c r="C350" s="35" t="str">
        <f>IFERROR(IF(Prêt_Non_Payé*Valeurs_Entrées,Date_Paiement,""), "")</f>
        <v/>
      </c>
      <c r="D350" s="36" t="str">
        <f>IFERROR(IF(Prêt_Non_Payé*Valeurs_Entrées,Solde_Départ,""), "")</f>
        <v/>
      </c>
      <c r="E350" s="36" t="str">
        <f>IFERROR(IF(Prêt_Non_Payé*Valeurs_Entrées,Paiement_Mensuel,""), "")</f>
        <v/>
      </c>
      <c r="F350" s="36" t="str">
        <f>IFERROR(IF(Prêt_Non_Payé*Valeurs_Entrées,Capital,""), "")</f>
        <v/>
      </c>
      <c r="G350" s="36" t="str">
        <f>IFERROR(IF(Prêt_Non_Payé*Valeurs_Entrées,Intérêts,""), "")</f>
        <v/>
      </c>
      <c r="H350" s="36" t="str">
        <f>IFERROR(IF(Prêt_Non_Payé*Valeurs_Entrées,Solde_Final,""), "")</f>
        <v/>
      </c>
    </row>
    <row r="351" spans="2:10" x14ac:dyDescent="0.25">
      <c r="B351" s="34" t="str">
        <f>IFERROR(IF(Prêt_Non_Payé*Valeurs_Entrées,Numéro_Paiement,""), "")</f>
        <v/>
      </c>
      <c r="C351" s="35" t="str">
        <f>IFERROR(IF(Prêt_Non_Payé*Valeurs_Entrées,Date_Paiement,""), "")</f>
        <v/>
      </c>
      <c r="D351" s="36" t="str">
        <f>IFERROR(IF(Prêt_Non_Payé*Valeurs_Entrées,Solde_Départ,""), "")</f>
        <v/>
      </c>
      <c r="E351" s="36" t="str">
        <f>IFERROR(IF(Prêt_Non_Payé*Valeurs_Entrées,Paiement_Mensuel,""), "")</f>
        <v/>
      </c>
      <c r="F351" s="36" t="str">
        <f>IFERROR(IF(Prêt_Non_Payé*Valeurs_Entrées,Capital,""), "")</f>
        <v/>
      </c>
      <c r="G351" s="36" t="str">
        <f>IFERROR(IF(Prêt_Non_Payé*Valeurs_Entrées,Intérêts,""), "")</f>
        <v/>
      </c>
      <c r="H351" s="36" t="str">
        <f>IFERROR(IF(Prêt_Non_Payé*Valeurs_Entrées,Solde_Final,""), "")</f>
        <v/>
      </c>
    </row>
    <row r="352" spans="2:10" x14ac:dyDescent="0.25">
      <c r="B352" s="34" t="str">
        <f>IFERROR(IF(Prêt_Non_Payé*Valeurs_Entrées,Numéro_Paiement,""), "")</f>
        <v/>
      </c>
      <c r="C352" s="35" t="str">
        <f>IFERROR(IF(Prêt_Non_Payé*Valeurs_Entrées,Date_Paiement,""), "")</f>
        <v/>
      </c>
      <c r="D352" s="36" t="str">
        <f>IFERROR(IF(Prêt_Non_Payé*Valeurs_Entrées,Solde_Départ,""), "")</f>
        <v/>
      </c>
      <c r="E352" s="36" t="str">
        <f>IFERROR(IF(Prêt_Non_Payé*Valeurs_Entrées,Paiement_Mensuel,""), "")</f>
        <v/>
      </c>
      <c r="F352" s="36" t="str">
        <f>IFERROR(IF(Prêt_Non_Payé*Valeurs_Entrées,Capital,""), "")</f>
        <v/>
      </c>
      <c r="G352" s="36" t="str">
        <f>IFERROR(IF(Prêt_Non_Payé*Valeurs_Entrées,Intérêts,""), "")</f>
        <v/>
      </c>
      <c r="H352" s="36" t="str">
        <f>IFERROR(IF(Prêt_Non_Payé*Valeurs_Entrées,Solde_Final,""), "")</f>
        <v/>
      </c>
    </row>
    <row r="353" spans="2:10" x14ac:dyDescent="0.25">
      <c r="B353" s="34" t="str">
        <f>IFERROR(IF(Prêt_Non_Payé*Valeurs_Entrées,Numéro_Paiement,""), "")</f>
        <v/>
      </c>
      <c r="C353" s="35" t="str">
        <f>IFERROR(IF(Prêt_Non_Payé*Valeurs_Entrées,Date_Paiement,""), "")</f>
        <v/>
      </c>
      <c r="D353" s="36" t="str">
        <f>IFERROR(IF(Prêt_Non_Payé*Valeurs_Entrées,Solde_Départ,""), "")</f>
        <v/>
      </c>
      <c r="E353" s="36" t="str">
        <f>IFERROR(IF(Prêt_Non_Payé*Valeurs_Entrées,Paiement_Mensuel,""), "")</f>
        <v/>
      </c>
      <c r="F353" s="36" t="str">
        <f>IFERROR(IF(Prêt_Non_Payé*Valeurs_Entrées,Capital,""), "")</f>
        <v/>
      </c>
      <c r="G353" s="36" t="str">
        <f>IFERROR(IF(Prêt_Non_Payé*Valeurs_Entrées,Intérêts,""), "")</f>
        <v/>
      </c>
      <c r="H353" s="36" t="str">
        <f>IFERROR(IF(Prêt_Non_Payé*Valeurs_Entrées,Solde_Final,""), "")</f>
        <v/>
      </c>
      <c r="J353" s="33">
        <f>SUM(G337:G348)</f>
        <v>0</v>
      </c>
    </row>
    <row r="354" spans="2:10" x14ac:dyDescent="0.25">
      <c r="B354" s="34" t="str">
        <f>IFERROR(IF(Prêt_Non_Payé*Valeurs_Entrées,Numéro_Paiement,""), "")</f>
        <v/>
      </c>
      <c r="C354" s="35" t="str">
        <f>IFERROR(IF(Prêt_Non_Payé*Valeurs_Entrées,Date_Paiement,""), "")</f>
        <v/>
      </c>
      <c r="D354" s="36" t="str">
        <f>IFERROR(IF(Prêt_Non_Payé*Valeurs_Entrées,Solde_Départ,""), "")</f>
        <v/>
      </c>
      <c r="E354" s="36" t="str">
        <f>IFERROR(IF(Prêt_Non_Payé*Valeurs_Entrées,Paiement_Mensuel,""), "")</f>
        <v/>
      </c>
      <c r="F354" s="36" t="str">
        <f>IFERROR(IF(Prêt_Non_Payé*Valeurs_Entrées,Capital,""), "")</f>
        <v/>
      </c>
      <c r="G354" s="36" t="str">
        <f>IFERROR(IF(Prêt_Non_Payé*Valeurs_Entrées,Intérêts,""), "")</f>
        <v/>
      </c>
      <c r="H354" s="36" t="str">
        <f>IFERROR(IF(Prêt_Non_Payé*Valeurs_Entrées,Solde_Final,""), "")</f>
        <v/>
      </c>
    </row>
    <row r="355" spans="2:10" x14ac:dyDescent="0.25">
      <c r="B355" s="34" t="str">
        <f>IFERROR(IF(Prêt_Non_Payé*Valeurs_Entrées,Numéro_Paiement,""), "")</f>
        <v/>
      </c>
      <c r="C355" s="35" t="str">
        <f>IFERROR(IF(Prêt_Non_Payé*Valeurs_Entrées,Date_Paiement,""), "")</f>
        <v/>
      </c>
      <c r="D355" s="36" t="str">
        <f>IFERROR(IF(Prêt_Non_Payé*Valeurs_Entrées,Solde_Départ,""), "")</f>
        <v/>
      </c>
      <c r="E355" s="36" t="str">
        <f>IFERROR(IF(Prêt_Non_Payé*Valeurs_Entrées,Paiement_Mensuel,""), "")</f>
        <v/>
      </c>
      <c r="F355" s="36" t="str">
        <f>IFERROR(IF(Prêt_Non_Payé*Valeurs_Entrées,Capital,""), "")</f>
        <v/>
      </c>
      <c r="G355" s="36" t="str">
        <f>IFERROR(IF(Prêt_Non_Payé*Valeurs_Entrées,Intérêts,""), "")</f>
        <v/>
      </c>
      <c r="H355" s="36" t="str">
        <f>IFERROR(IF(Prêt_Non_Payé*Valeurs_Entrées,Solde_Final,""), "")</f>
        <v/>
      </c>
    </row>
    <row r="356" spans="2:10" x14ac:dyDescent="0.25">
      <c r="B356" s="34" t="str">
        <f>IFERROR(IF(Prêt_Non_Payé*Valeurs_Entrées,Numéro_Paiement,""), "")</f>
        <v/>
      </c>
      <c r="C356" s="35" t="str">
        <f>IFERROR(IF(Prêt_Non_Payé*Valeurs_Entrées,Date_Paiement,""), "")</f>
        <v/>
      </c>
      <c r="D356" s="36" t="str">
        <f>IFERROR(IF(Prêt_Non_Payé*Valeurs_Entrées,Solde_Départ,""), "")</f>
        <v/>
      </c>
      <c r="E356" s="36" t="str">
        <f>IFERROR(IF(Prêt_Non_Payé*Valeurs_Entrées,Paiement_Mensuel,""), "")</f>
        <v/>
      </c>
      <c r="F356" s="36" t="str">
        <f>IFERROR(IF(Prêt_Non_Payé*Valeurs_Entrées,Capital,""), "")</f>
        <v/>
      </c>
      <c r="G356" s="36" t="str">
        <f>IFERROR(IF(Prêt_Non_Payé*Valeurs_Entrées,Intérêts,""), "")</f>
        <v/>
      </c>
      <c r="H356" s="36" t="str">
        <f>IFERROR(IF(Prêt_Non_Payé*Valeurs_Entrées,Solde_Final,""), "")</f>
        <v/>
      </c>
    </row>
    <row r="357" spans="2:10" x14ac:dyDescent="0.25">
      <c r="B357" s="34" t="str">
        <f>IFERROR(IF(Prêt_Non_Payé*Valeurs_Entrées,Numéro_Paiement,""), "")</f>
        <v/>
      </c>
      <c r="C357" s="35" t="str">
        <f>IFERROR(IF(Prêt_Non_Payé*Valeurs_Entrées,Date_Paiement,""), "")</f>
        <v/>
      </c>
      <c r="D357" s="36" t="str">
        <f>IFERROR(IF(Prêt_Non_Payé*Valeurs_Entrées,Solde_Départ,""), "")</f>
        <v/>
      </c>
      <c r="E357" s="36" t="str">
        <f>IFERROR(IF(Prêt_Non_Payé*Valeurs_Entrées,Paiement_Mensuel,""), "")</f>
        <v/>
      </c>
      <c r="F357" s="36" t="str">
        <f>IFERROR(IF(Prêt_Non_Payé*Valeurs_Entrées,Capital,""), "")</f>
        <v/>
      </c>
      <c r="G357" s="36" t="str">
        <f>IFERROR(IF(Prêt_Non_Payé*Valeurs_Entrées,Intérêts,""), "")</f>
        <v/>
      </c>
      <c r="H357" s="36" t="str">
        <f>IFERROR(IF(Prêt_Non_Payé*Valeurs_Entrées,Solde_Final,""), "")</f>
        <v/>
      </c>
    </row>
    <row r="358" spans="2:10" x14ac:dyDescent="0.25">
      <c r="B358" s="34" t="str">
        <f>IFERROR(IF(Prêt_Non_Payé*Valeurs_Entrées,Numéro_Paiement,""), "")</f>
        <v/>
      </c>
      <c r="C358" s="35" t="str">
        <f>IFERROR(IF(Prêt_Non_Payé*Valeurs_Entrées,Date_Paiement,""), "")</f>
        <v/>
      </c>
      <c r="D358" s="36" t="str">
        <f>IFERROR(IF(Prêt_Non_Payé*Valeurs_Entrées,Solde_Départ,""), "")</f>
        <v/>
      </c>
      <c r="E358" s="36" t="str">
        <f>IFERROR(IF(Prêt_Non_Payé*Valeurs_Entrées,Paiement_Mensuel,""), "")</f>
        <v/>
      </c>
      <c r="F358" s="36" t="str">
        <f>IFERROR(IF(Prêt_Non_Payé*Valeurs_Entrées,Capital,""), "")</f>
        <v/>
      </c>
      <c r="G358" s="36" t="str">
        <f>IFERROR(IF(Prêt_Non_Payé*Valeurs_Entrées,Intérêts,""), "")</f>
        <v/>
      </c>
      <c r="H358" s="36" t="str">
        <f>IFERROR(IF(Prêt_Non_Payé*Valeurs_Entrées,Solde_Final,""), "")</f>
        <v/>
      </c>
    </row>
    <row r="359" spans="2:10" x14ac:dyDescent="0.25">
      <c r="B359" s="34" t="str">
        <f>IFERROR(IF(Prêt_Non_Payé*Valeurs_Entrées,Numéro_Paiement,""), "")</f>
        <v/>
      </c>
      <c r="C359" s="35" t="str">
        <f>IFERROR(IF(Prêt_Non_Payé*Valeurs_Entrées,Date_Paiement,""), "")</f>
        <v/>
      </c>
      <c r="D359" s="36" t="str">
        <f>IFERROR(IF(Prêt_Non_Payé*Valeurs_Entrées,Solde_Départ,""), "")</f>
        <v/>
      </c>
      <c r="E359" s="36" t="str">
        <f>IFERROR(IF(Prêt_Non_Payé*Valeurs_Entrées,Paiement_Mensuel,""), "")</f>
        <v/>
      </c>
      <c r="F359" s="36" t="str">
        <f>IFERROR(IF(Prêt_Non_Payé*Valeurs_Entrées,Capital,""), "")</f>
        <v/>
      </c>
      <c r="G359" s="36" t="str">
        <f>IFERROR(IF(Prêt_Non_Payé*Valeurs_Entrées,Intérêts,""), "")</f>
        <v/>
      </c>
      <c r="H359" s="36" t="str">
        <f>IFERROR(IF(Prêt_Non_Payé*Valeurs_Entrées,Solde_Final,""), "")</f>
        <v/>
      </c>
    </row>
    <row r="360" spans="2:10" x14ac:dyDescent="0.25">
      <c r="B360" s="34" t="str">
        <f>IFERROR(IF(Prêt_Non_Payé*Valeurs_Entrées,Numéro_Paiement,""), "")</f>
        <v/>
      </c>
      <c r="C360" s="35" t="str">
        <f>IFERROR(IF(Prêt_Non_Payé*Valeurs_Entrées,Date_Paiement,""), "")</f>
        <v/>
      </c>
      <c r="D360" s="36" t="str">
        <f>IFERROR(IF(Prêt_Non_Payé*Valeurs_Entrées,Solde_Départ,""), "")</f>
        <v/>
      </c>
      <c r="E360" s="36" t="str">
        <f>IFERROR(IF(Prêt_Non_Payé*Valeurs_Entrées,Paiement_Mensuel,""), "")</f>
        <v/>
      </c>
      <c r="F360" s="36" t="str">
        <f>IFERROR(IF(Prêt_Non_Payé*Valeurs_Entrées,Capital,""), "")</f>
        <v/>
      </c>
      <c r="G360" s="36" t="str">
        <f>IFERROR(IF(Prêt_Non_Payé*Valeurs_Entrées,Intérêts,""), "")</f>
        <v/>
      </c>
      <c r="H360" s="36" t="str">
        <f>IFERROR(IF(Prêt_Non_Payé*Valeurs_Entrées,Solde_Final,""), "")</f>
        <v/>
      </c>
    </row>
    <row r="361" spans="2:10" x14ac:dyDescent="0.25">
      <c r="B361" s="34" t="str">
        <f>IFERROR(IF(Prêt_Non_Payé*Valeurs_Entrées,Numéro_Paiement,""), "")</f>
        <v/>
      </c>
      <c r="C361" s="35" t="str">
        <f>IFERROR(IF(Prêt_Non_Payé*Valeurs_Entrées,Date_Paiement,""), "")</f>
        <v/>
      </c>
      <c r="D361" s="36" t="str">
        <f>IFERROR(IF(Prêt_Non_Payé*Valeurs_Entrées,Solde_Départ,""), "")</f>
        <v/>
      </c>
      <c r="E361" s="36" t="str">
        <f>IFERROR(IF(Prêt_Non_Payé*Valeurs_Entrées,Paiement_Mensuel,""), "")</f>
        <v/>
      </c>
      <c r="F361" s="36" t="str">
        <f>IFERROR(IF(Prêt_Non_Payé*Valeurs_Entrées,Capital,""), "")</f>
        <v/>
      </c>
      <c r="G361" s="36" t="str">
        <f>IFERROR(IF(Prêt_Non_Payé*Valeurs_Entrées,Intérêts,""), "")</f>
        <v/>
      </c>
      <c r="H361" s="36" t="str">
        <f>IFERROR(IF(Prêt_Non_Payé*Valeurs_Entrées,Solde_Final,""), "")</f>
        <v/>
      </c>
    </row>
    <row r="362" spans="2:10" x14ac:dyDescent="0.25">
      <c r="B362" s="34" t="str">
        <f>IFERROR(IF(Prêt_Non_Payé*Valeurs_Entrées,Numéro_Paiement,""), "")</f>
        <v/>
      </c>
      <c r="C362" s="35" t="str">
        <f>IFERROR(IF(Prêt_Non_Payé*Valeurs_Entrées,Date_Paiement,""), "")</f>
        <v/>
      </c>
      <c r="D362" s="36" t="str">
        <f>IFERROR(IF(Prêt_Non_Payé*Valeurs_Entrées,Solde_Départ,""), "")</f>
        <v/>
      </c>
      <c r="E362" s="36" t="str">
        <f>IFERROR(IF(Prêt_Non_Payé*Valeurs_Entrées,Paiement_Mensuel,""), "")</f>
        <v/>
      </c>
      <c r="F362" s="36" t="str">
        <f>IFERROR(IF(Prêt_Non_Payé*Valeurs_Entrées,Capital,""), "")</f>
        <v/>
      </c>
      <c r="G362" s="36" t="str">
        <f>IFERROR(IF(Prêt_Non_Payé*Valeurs_Entrées,Intérêts,""), "")</f>
        <v/>
      </c>
      <c r="H362" s="36" t="str">
        <f>IFERROR(IF(Prêt_Non_Payé*Valeurs_Entrées,Solde_Final,""), "")</f>
        <v/>
      </c>
    </row>
    <row r="363" spans="2:10" x14ac:dyDescent="0.25">
      <c r="B363" s="34" t="str">
        <f>IFERROR(IF(Prêt_Non_Payé*Valeurs_Entrées,Numéro_Paiement,""), "")</f>
        <v/>
      </c>
      <c r="C363" s="35" t="str">
        <f>IFERROR(IF(Prêt_Non_Payé*Valeurs_Entrées,Date_Paiement,""), "")</f>
        <v/>
      </c>
      <c r="D363" s="36" t="str">
        <f>IFERROR(IF(Prêt_Non_Payé*Valeurs_Entrées,Solde_Départ,""), "")</f>
        <v/>
      </c>
      <c r="E363" s="36" t="str">
        <f>IFERROR(IF(Prêt_Non_Payé*Valeurs_Entrées,Paiement_Mensuel,""), "")</f>
        <v/>
      </c>
      <c r="F363" s="36" t="str">
        <f>IFERROR(IF(Prêt_Non_Payé*Valeurs_Entrées,Capital,""), "")</f>
        <v/>
      </c>
      <c r="G363" s="36" t="str">
        <f>IFERROR(IF(Prêt_Non_Payé*Valeurs_Entrées,Intérêts,""), "")</f>
        <v/>
      </c>
      <c r="H363" s="36" t="str">
        <f>IFERROR(IF(Prêt_Non_Payé*Valeurs_Entrées,Solde_Final,""), "")</f>
        <v/>
      </c>
    </row>
    <row r="364" spans="2:10" x14ac:dyDescent="0.25">
      <c r="B364" s="34" t="str">
        <f>IFERROR(IF(Prêt_Non_Payé*Valeurs_Entrées,Numéro_Paiement,""), "")</f>
        <v/>
      </c>
      <c r="C364" s="35" t="str">
        <f>IFERROR(IF(Prêt_Non_Payé*Valeurs_Entrées,Date_Paiement,""), "")</f>
        <v/>
      </c>
      <c r="D364" s="36" t="str">
        <f>IFERROR(IF(Prêt_Non_Payé*Valeurs_Entrées,Solde_Départ,""), "")</f>
        <v/>
      </c>
      <c r="E364" s="36" t="str">
        <f>IFERROR(IF(Prêt_Non_Payé*Valeurs_Entrées,Paiement_Mensuel,""), "")</f>
        <v/>
      </c>
      <c r="F364" s="36" t="str">
        <f>IFERROR(IF(Prêt_Non_Payé*Valeurs_Entrées,Capital,""), "")</f>
        <v/>
      </c>
      <c r="G364" s="36" t="str">
        <f>IFERROR(IF(Prêt_Non_Payé*Valeurs_Entrées,Intérêts,""), "")</f>
        <v/>
      </c>
      <c r="H364" s="36" t="str">
        <f>IFERROR(IF(Prêt_Non_Payé*Valeurs_Entrées,Solde_Final,""), "")</f>
        <v/>
      </c>
    </row>
    <row r="365" spans="2:10" x14ac:dyDescent="0.25">
      <c r="B365" s="34" t="str">
        <f>IFERROR(IF(Prêt_Non_Payé*Valeurs_Entrées,Numéro_Paiement,""), "")</f>
        <v/>
      </c>
      <c r="C365" s="35" t="str">
        <f>IFERROR(IF(Prêt_Non_Payé*Valeurs_Entrées,Date_Paiement,""), "")</f>
        <v/>
      </c>
      <c r="D365" s="36" t="str">
        <f>IFERROR(IF(Prêt_Non_Payé*Valeurs_Entrées,Solde_Départ,""), "")</f>
        <v/>
      </c>
      <c r="E365" s="36" t="str">
        <f>IFERROR(IF(Prêt_Non_Payé*Valeurs_Entrées,Paiement_Mensuel,""), "")</f>
        <v/>
      </c>
      <c r="F365" s="36" t="str">
        <f>IFERROR(IF(Prêt_Non_Payé*Valeurs_Entrées,Capital,""), "")</f>
        <v/>
      </c>
      <c r="G365" s="36" t="str">
        <f>IFERROR(IF(Prêt_Non_Payé*Valeurs_Entrées,Intérêts,""), "")</f>
        <v/>
      </c>
      <c r="H365" s="36" t="str">
        <f>IFERROR(IF(Prêt_Non_Payé*Valeurs_Entrées,Solde_Final,""), "")</f>
        <v/>
      </c>
    </row>
    <row r="366" spans="2:10" x14ac:dyDescent="0.25">
      <c r="B366" s="34" t="str">
        <f>IFERROR(IF(Prêt_Non_Payé*Valeurs_Entrées,Numéro_Paiement,""), "")</f>
        <v/>
      </c>
      <c r="C366" s="35" t="str">
        <f>IFERROR(IF(Prêt_Non_Payé*Valeurs_Entrées,Date_Paiement,""), "")</f>
        <v/>
      </c>
      <c r="D366" s="36" t="str">
        <f>IFERROR(IF(Prêt_Non_Payé*Valeurs_Entrées,Solde_Départ,""), "")</f>
        <v/>
      </c>
      <c r="E366" s="36" t="str">
        <f>IFERROR(IF(Prêt_Non_Payé*Valeurs_Entrées,Paiement_Mensuel,""), "")</f>
        <v/>
      </c>
      <c r="F366" s="36" t="str">
        <f>IFERROR(IF(Prêt_Non_Payé*Valeurs_Entrées,Capital,""), "")</f>
        <v/>
      </c>
      <c r="G366" s="36" t="str">
        <f>IFERROR(IF(Prêt_Non_Payé*Valeurs_Entrées,Intérêts,""), "")</f>
        <v/>
      </c>
      <c r="H366" s="36" t="str">
        <f>IFERROR(IF(Prêt_Non_Payé*Valeurs_Entrées,Solde_Final,""), "")</f>
        <v/>
      </c>
    </row>
    <row r="367" spans="2:10" x14ac:dyDescent="0.25">
      <c r="B367" s="34" t="str">
        <f>IFERROR(IF(Prêt_Non_Payé*Valeurs_Entrées,Numéro_Paiement,""), "")</f>
        <v/>
      </c>
      <c r="C367" s="35" t="str">
        <f>IFERROR(IF(Prêt_Non_Payé*Valeurs_Entrées,Date_Paiement,""), "")</f>
        <v/>
      </c>
      <c r="D367" s="36" t="str">
        <f>IFERROR(IF(Prêt_Non_Payé*Valeurs_Entrées,Solde_Départ,""), "")</f>
        <v/>
      </c>
      <c r="E367" s="36" t="str">
        <f>IFERROR(IF(Prêt_Non_Payé*Valeurs_Entrées,Paiement_Mensuel,""), "")</f>
        <v/>
      </c>
      <c r="F367" s="36" t="str">
        <f>IFERROR(IF(Prêt_Non_Payé*Valeurs_Entrées,Capital,""), "")</f>
        <v/>
      </c>
      <c r="G367" s="36" t="str">
        <f>IFERROR(IF(Prêt_Non_Payé*Valeurs_Entrées,Intérêts,""), "")</f>
        <v/>
      </c>
      <c r="H367" s="36" t="str">
        <f>IFERROR(IF(Prêt_Non_Payé*Valeurs_Entrées,Solde_Final,""), "")</f>
        <v/>
      </c>
    </row>
    <row r="368" spans="2:10" x14ac:dyDescent="0.25">
      <c r="B368" s="34" t="str">
        <f>IFERROR(IF(Prêt_Non_Payé*Valeurs_Entrées,Numéro_Paiement,""), "")</f>
        <v/>
      </c>
      <c r="C368" s="35" t="str">
        <f>IFERROR(IF(Prêt_Non_Payé*Valeurs_Entrées,Date_Paiement,""), "")</f>
        <v/>
      </c>
      <c r="D368" s="36" t="str">
        <f>IFERROR(IF(Prêt_Non_Payé*Valeurs_Entrées,Solde_Départ,""), "")</f>
        <v/>
      </c>
      <c r="E368" s="36" t="str">
        <f>IFERROR(IF(Prêt_Non_Payé*Valeurs_Entrées,Paiement_Mensuel,""), "")</f>
        <v/>
      </c>
      <c r="F368" s="36" t="str">
        <f>IFERROR(IF(Prêt_Non_Payé*Valeurs_Entrées,Capital,""), "")</f>
        <v/>
      </c>
      <c r="G368" s="36" t="str">
        <f>IFERROR(IF(Prêt_Non_Payé*Valeurs_Entrées,Intérêts,""), "")</f>
        <v/>
      </c>
      <c r="H368" s="36" t="str">
        <f>IFERROR(IF(Prêt_Non_Payé*Valeurs_Entrées,Solde_Final,""), "")</f>
        <v/>
      </c>
    </row>
    <row r="369" spans="2:8" x14ac:dyDescent="0.25">
      <c r="B369" s="34" t="str">
        <f>IFERROR(IF(Prêt_Non_Payé*Valeurs_Entrées,Numéro_Paiement,""), "")</f>
        <v/>
      </c>
      <c r="C369" s="35" t="str">
        <f>IFERROR(IF(Prêt_Non_Payé*Valeurs_Entrées,Date_Paiement,""), "")</f>
        <v/>
      </c>
      <c r="D369" s="36" t="str">
        <f>IFERROR(IF(Prêt_Non_Payé*Valeurs_Entrées,Solde_Départ,""), "")</f>
        <v/>
      </c>
      <c r="E369" s="36" t="str">
        <f>IFERROR(IF(Prêt_Non_Payé*Valeurs_Entrées,Paiement_Mensuel,""), "")</f>
        <v/>
      </c>
      <c r="F369" s="36" t="str">
        <f>IFERROR(IF(Prêt_Non_Payé*Valeurs_Entrées,Capital,""), "")</f>
        <v/>
      </c>
      <c r="G369" s="36" t="str">
        <f>IFERROR(IF(Prêt_Non_Payé*Valeurs_Entrées,Intérêts,""), "")</f>
        <v/>
      </c>
      <c r="H369" s="36" t="str">
        <f>IFERROR(IF(Prêt_Non_Payé*Valeurs_Entrées,Solde_Final,""), "")</f>
        <v/>
      </c>
    </row>
    <row r="370" spans="2:8" x14ac:dyDescent="0.25">
      <c r="B370" s="34" t="str">
        <f>IFERROR(IF(Prêt_Non_Payé*Valeurs_Entrées,Numéro_Paiement,""), "")</f>
        <v/>
      </c>
      <c r="C370" s="35" t="str">
        <f>IFERROR(IF(Prêt_Non_Payé*Valeurs_Entrées,Date_Paiement,""), "")</f>
        <v/>
      </c>
      <c r="D370" s="36" t="str">
        <f>IFERROR(IF(Prêt_Non_Payé*Valeurs_Entrées,Solde_Départ,""), "")</f>
        <v/>
      </c>
      <c r="E370" s="36" t="str">
        <f>IFERROR(IF(Prêt_Non_Payé*Valeurs_Entrées,Paiement_Mensuel,""), "")</f>
        <v/>
      </c>
      <c r="F370" s="36" t="str">
        <f>IFERROR(IF(Prêt_Non_Payé*Valeurs_Entrées,Capital,""), "")</f>
        <v/>
      </c>
      <c r="G370" s="36" t="str">
        <f>IFERROR(IF(Prêt_Non_Payé*Valeurs_Entrées,Intérêts,""), "")</f>
        <v/>
      </c>
      <c r="H370" s="36" t="str">
        <f>IFERROR(IF(Prêt_Non_Payé*Valeurs_Entrées,Solde_Final,""), "")</f>
        <v/>
      </c>
    </row>
  </sheetData>
  <mergeCells count="9">
    <mergeCell ref="B9:D9"/>
    <mergeCell ref="B10:D10"/>
    <mergeCell ref="B11:D11"/>
    <mergeCell ref="B2:E2"/>
    <mergeCell ref="B3:D3"/>
    <mergeCell ref="B4:D4"/>
    <mergeCell ref="B5:D5"/>
    <mergeCell ref="B6:D6"/>
    <mergeCell ref="B8:D8"/>
  </mergeCells>
  <conditionalFormatting sqref="C13:G370">
    <cfRule type="expression" dxfId="5" priority="1" stopIfTrue="1">
      <formula>NOT(Prêt_Non_Payé)</formula>
    </cfRule>
    <cfRule type="expression" dxfId="4" priority="2" stopIfTrue="1">
      <formula>IF(ROW(C13)=Dernière_Ligne,TRUE,FALSE)</formula>
    </cfRule>
  </conditionalFormatting>
  <conditionalFormatting sqref="B13:B370">
    <cfRule type="expression" dxfId="3" priority="3" stopIfTrue="1">
      <formula>NOT(Prêt_Non_Payé)</formula>
    </cfRule>
    <cfRule type="expression" dxfId="2" priority="4" stopIfTrue="1">
      <formula>IF(ROW(B13)=Dernière_Ligne,TRUE,FALSE)</formula>
    </cfRule>
  </conditionalFormatting>
  <conditionalFormatting sqref="H13:H370">
    <cfRule type="expression" dxfId="1" priority="5" stopIfTrue="1">
      <formula>NOT(Prêt_Non_Payé)</formula>
    </cfRule>
    <cfRule type="expression" dxfId="0" priority="6" stopIfTrue="1">
      <formula>IF(ROW(H13)=Dernière_Ligne,TRUE,FALSE)</formula>
    </cfRule>
  </conditionalFormatting>
  <dataValidations count="26">
    <dataValidation allowBlank="1" showInputMessage="1" showErrorMessage="1" prompt="Créez un plan de remboursement de prêt à l’aide de cette feuille de calcul Calculateur de prêt et tableau d’amortissement. Le total des intérêts et des paiements est calculé automatiquement." sqref="A1" xr:uid="{99F84AFA-8F47-4EA4-A8A0-B21F5CE255B7}"/>
    <dataValidation allowBlank="1" showInputMessage="1" showErrorMessage="1" prompt="Le titre de la feuille de calcul figure dans cette cellule. Entrez les valeurs du prêt dans les cellules E3 à E6. Le récapitulatif du prêt dans les cellules E8 à E11 et la table Prêt sont mis à jour automatiquement." sqref="B1" xr:uid="{862F96B9-44B6-4DD4-85AE-F04AB1C7C543}"/>
    <dataValidation allowBlank="1" showInputMessage="1" showErrorMessage="1" prompt="Entrez le montant du prêt dans la cellule à droite." sqref="B3:D3" xr:uid="{2E351C78-8A0C-41DD-AA6C-F7B5CAE75047}"/>
    <dataValidation allowBlank="1" showInputMessage="1" showErrorMessage="1" prompt="Entrez le montant du prêt dans cette cellule." sqref="E3" xr:uid="{BBD67EAA-EF46-4C5F-9DEA-C3A206D05CB2}"/>
    <dataValidation allowBlank="1" showInputMessage="1" showErrorMessage="1" prompt="Entrez le taux d’intérêt annuel dans la cellule à droite." sqref="B4:D4" xr:uid="{49028DC0-CCEF-43E4-B037-DCCF828EA814}"/>
    <dataValidation allowBlank="1" showInputMessage="1" showErrorMessage="1" prompt="Entrez la durée du prêt en années dans la cellule à droite." sqref="B5:D5" xr:uid="{DC1FDE22-CB06-437C-AE4B-EB8B536D2E9E}"/>
    <dataValidation allowBlank="1" showInputMessage="1" showErrorMessage="1" prompt="Entrez la durée du prêt en années dans cette cellule." sqref="E5" xr:uid="{96162627-C682-4D78-85F0-4A2524A94036}"/>
    <dataValidation allowBlank="1" showInputMessage="1" showErrorMessage="1" prompt="Entrez la date de début du prêt dans la cellule à droite." sqref="B6:D6" xr:uid="{C9177ACF-4789-4725-A619-61F691DDA330}"/>
    <dataValidation allowBlank="1" showInputMessage="1" showErrorMessage="1" prompt="Entrez la date de début du prêt dans cette cellule." sqref="E6" xr:uid="{E5A51E0D-CB24-4BF6-AA4F-D6F3D24B4597}"/>
    <dataValidation allowBlank="1" showInputMessage="1" showErrorMessage="1" prompt="La mensualité est calculée automatiquement dans la cellule à droite." sqref="B8:D8" xr:uid="{7D0AB6B4-0249-4835-828D-4E9066ED8DA6}"/>
    <dataValidation allowBlank="1" showInputMessage="1" showErrorMessage="1" prompt="La mensualité est calculée automatiquement dans cette cellule." sqref="E8" xr:uid="{1B621D76-2EDE-4E73-A7ED-F4740C61A92B}"/>
    <dataValidation allowBlank="1" showInputMessage="1" showErrorMessage="1" prompt="Le nombre de paiements est calculé automatiquement dans la cellule à droite." sqref="B9:D9" xr:uid="{051D3CCB-6CC4-4482-A780-E81C94E15977}"/>
    <dataValidation allowBlank="1" showInputMessage="1" showErrorMessage="1" prompt="Le nombre de paiements est calculé automatiquement dans cette cellule." sqref="E9" xr:uid="{C03864DF-29A2-4E02-98F7-1FD84714B1B0}"/>
    <dataValidation allowBlank="1" showInputMessage="1" showErrorMessage="1" prompt="Le total des intérêts est calculé automatiquement dans la cellule à droite." sqref="B10:D10" xr:uid="{1F68697A-CB53-497A-B57D-23D081A32D16}"/>
    <dataValidation allowBlank="1" showInputMessage="1" showErrorMessage="1" prompt="Le total des intérêts est calculé automatiquement dans cette cellule." sqref="E10" xr:uid="{F5EF9694-8279-4197-9063-CCEA71FAE27F}"/>
    <dataValidation allowBlank="1" showInputMessage="1" showErrorMessage="1" prompt="Le coût total du prêt est calculé automatiquement dans la cellule à droite." sqref="B11:D11" xr:uid="{7881B15E-011E-4A03-8632-72C0C480AB8A}"/>
    <dataValidation allowBlank="1" showInputMessage="1" showErrorMessage="1" prompt="Le coût total du prêt est calculé automatiquement dans cette cellule." sqref="E11" xr:uid="{57755D58-E311-4EC2-A480-5FB44FE7F366}"/>
    <dataValidation allowBlank="1" showInputMessage="1" showErrorMessage="1" prompt="Entrez des valeurs dans les cellules E3 à E6 pour chaque description dans la colonne B. Les valeurs des cellules E8 à E11 sont calculées automatiquement." sqref="B2" xr:uid="{FA343B98-7F3B-42A1-A68A-0DA4AA6E805A}"/>
    <dataValidation allowBlank="1" showInputMessage="1" showErrorMessage="1" prompt="Le numéro de paiement est mis à jour automatiquement dans cette colonne sous ce titre." sqref="B12" xr:uid="{CC54D3FD-D0D5-44A3-906E-C4D80F441875}"/>
    <dataValidation allowBlank="1" showInputMessage="1" showErrorMessage="1" prompt="La date de paiement est mise à jour automatiquement dans cette colonne sous ce titre." sqref="C12" xr:uid="{D32AEFDA-8A8A-4480-A9FE-77860FCC1E26}"/>
    <dataValidation allowBlank="1" showInputMessage="1" showErrorMessage="1" prompt="Le solde de départ est calculé automatiquement dans cette colonne sous ce titre" sqref="D12" xr:uid="{09E891CE-1065-4928-A4B5-2A61176FC965}"/>
    <dataValidation allowBlank="1" showInputMessage="1" showErrorMessage="1" prompt="Le montant du paiement est calculé automatiquement dans cette colonne sous ce titre." sqref="E12" xr:uid="{1E949B4B-76D6-425F-8AF7-69E432450D29}"/>
    <dataValidation allowBlank="1" showInputMessage="1" showErrorMessage="1" prompt="Le montant du capital est mis à jour automatiquement dans cette colonne sous ce titre." sqref="F12" xr:uid="{3E10AA87-EBDC-40AF-A7DD-9DA2506CA067}"/>
    <dataValidation allowBlank="1" showInputMessage="1" showErrorMessage="1" prompt="Le montant des intérêts est mis à jour automatiquement dans cette colonne sous ce titre." sqref="G12" xr:uid="{7BEC03D2-C145-4259-A2E1-BD27326BD4AF}"/>
    <dataValidation allowBlank="1" showInputMessage="1" showErrorMessage="1" prompt="Le solde final est automatiquement mis à jour dans cette colonne sous ce titre." sqref="H12" xr:uid="{6CBE6B81-AE2A-4983-BEC2-1E2D53EFA543}"/>
    <dataValidation allowBlank="1" showInputMessage="1" showErrorMessage="1" prompt="Entrez le taux d’intérêt annuel dans cette cellule." sqref="E4" xr:uid="{344CE8F5-D698-496A-8769-C30D225345D8}"/>
  </dataValidations>
  <printOptions horizontalCentered="1"/>
  <pageMargins left="0.5" right="0.5" top="1" bottom="1" header="0.5" footer="0.5"/>
  <pageSetup paperSize="9" scale="24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B1AA2-C597-4D98-BD45-B1CAAEC2C9D1}">
  <dimension ref="A1:AE48"/>
  <sheetViews>
    <sheetView topLeftCell="A28" workbookViewId="0">
      <selection activeCell="B44" sqref="B44"/>
    </sheetView>
  </sheetViews>
  <sheetFormatPr baseColWidth="10" defaultColWidth="8.85546875" defaultRowHeight="15" x14ac:dyDescent="0.25"/>
  <cols>
    <col min="1" max="1" width="39.140625" bestFit="1" customWidth="1"/>
    <col min="2" max="2" width="10.28515625" style="1" bestFit="1" customWidth="1"/>
    <col min="3" max="24" width="9.7109375" customWidth="1"/>
    <col min="25" max="31" width="10.5703125" bestFit="1" customWidth="1"/>
  </cols>
  <sheetData>
    <row r="1" spans="1:31" ht="15.75" thickBot="1" x14ac:dyDescent="0.3">
      <c r="A1" t="s">
        <v>79</v>
      </c>
      <c r="C1" t="str">
        <f>_xlfn.CONCAT("SCPI Reinvest- prêt ",Investissement!Tau_Prêt*100,"%")</f>
        <v>SCPI Reinvest- prêt 2,6%</v>
      </c>
    </row>
    <row r="2" spans="1:31" x14ac:dyDescent="0.25">
      <c r="A2" t="s">
        <v>35</v>
      </c>
      <c r="B2" s="47">
        <v>0.1196</v>
      </c>
      <c r="E2" s="50"/>
      <c r="F2" s="51"/>
      <c r="G2" s="51"/>
      <c r="H2" s="52">
        <v>2012</v>
      </c>
      <c r="I2" s="52">
        <f>H2+1</f>
        <v>2013</v>
      </c>
      <c r="J2" s="52">
        <f t="shared" ref="J2:Q2" si="0">I2+1</f>
        <v>2014</v>
      </c>
      <c r="K2" s="52">
        <f t="shared" si="0"/>
        <v>2015</v>
      </c>
      <c r="L2" s="52">
        <f t="shared" si="0"/>
        <v>2016</v>
      </c>
      <c r="M2" s="52">
        <f t="shared" si="0"/>
        <v>2017</v>
      </c>
      <c r="N2" s="52">
        <f t="shared" si="0"/>
        <v>2018</v>
      </c>
      <c r="O2" s="52">
        <f t="shared" si="0"/>
        <v>2019</v>
      </c>
      <c r="P2" s="52">
        <f t="shared" si="0"/>
        <v>2020</v>
      </c>
      <c r="Q2" s="52">
        <f t="shared" si="0"/>
        <v>2021</v>
      </c>
      <c r="R2" s="51"/>
      <c r="S2" s="53"/>
    </row>
    <row r="3" spans="1:31" x14ac:dyDescent="0.25">
      <c r="A3" t="s">
        <v>36</v>
      </c>
      <c r="B3" s="1">
        <v>1013.7549124687399</v>
      </c>
      <c r="E3" s="54"/>
      <c r="F3" s="55"/>
      <c r="G3" s="56" t="s">
        <v>40</v>
      </c>
      <c r="H3" s="57">
        <v>1000</v>
      </c>
      <c r="I3" s="55">
        <v>1020</v>
      </c>
      <c r="J3" s="55">
        <v>1030</v>
      </c>
      <c r="K3" s="55">
        <v>1045</v>
      </c>
      <c r="L3" s="55">
        <v>1060</v>
      </c>
      <c r="M3" s="55">
        <v>1060</v>
      </c>
      <c r="N3" s="55">
        <v>1075</v>
      </c>
      <c r="O3" s="55">
        <v>1090</v>
      </c>
      <c r="P3" s="55">
        <v>1090</v>
      </c>
      <c r="Q3" s="55">
        <v>1090</v>
      </c>
      <c r="R3" s="55"/>
      <c r="S3" s="58" t="s">
        <v>39</v>
      </c>
    </row>
    <row r="4" spans="1:31" ht="15.75" thickBot="1" x14ac:dyDescent="0.3">
      <c r="A4" t="s">
        <v>37</v>
      </c>
      <c r="B4" s="1">
        <f>B3*(1+B2)</f>
        <v>1135.0000000000011</v>
      </c>
      <c r="E4" s="59"/>
      <c r="F4" s="60"/>
      <c r="G4" s="60"/>
      <c r="H4" s="61"/>
      <c r="I4" s="62">
        <f>(I3-H3)/H3</f>
        <v>0.02</v>
      </c>
      <c r="J4" s="62">
        <f t="shared" ref="J4:Q4" si="1">(J3-I3)/I3</f>
        <v>9.8039215686274508E-3</v>
      </c>
      <c r="K4" s="62">
        <f t="shared" si="1"/>
        <v>1.4563106796116505E-2</v>
      </c>
      <c r="L4" s="62">
        <f t="shared" si="1"/>
        <v>1.4354066985645933E-2</v>
      </c>
      <c r="M4" s="62">
        <f t="shared" si="1"/>
        <v>0</v>
      </c>
      <c r="N4" s="62">
        <f t="shared" si="1"/>
        <v>1.4150943396226415E-2</v>
      </c>
      <c r="O4" s="62">
        <f t="shared" si="1"/>
        <v>1.3953488372093023E-2</v>
      </c>
      <c r="P4" s="62">
        <f t="shared" si="1"/>
        <v>0</v>
      </c>
      <c r="Q4" s="62">
        <f t="shared" si="1"/>
        <v>0</v>
      </c>
      <c r="R4" s="62"/>
      <c r="S4" s="63">
        <f>AVERAGE(I4:Q4)</f>
        <v>9.6472807909677039E-3</v>
      </c>
    </row>
    <row r="6" spans="1:31" x14ac:dyDescent="0.25">
      <c r="A6" t="s">
        <v>47</v>
      </c>
      <c r="B6" s="1">
        <f>pret+Investissement!Apport</f>
        <v>66000</v>
      </c>
      <c r="D6" s="41"/>
    </row>
    <row r="7" spans="1:31" x14ac:dyDescent="0.25">
      <c r="A7" t="s">
        <v>46</v>
      </c>
      <c r="B7" s="45">
        <f>B6/B4</f>
        <v>58.149779735682763</v>
      </c>
      <c r="D7" s="1"/>
    </row>
    <row r="9" spans="1:31" x14ac:dyDescent="0.25">
      <c r="B9" s="44">
        <v>1</v>
      </c>
      <c r="C9" s="44">
        <f>B9+1</f>
        <v>2</v>
      </c>
      <c r="D9" s="44">
        <f t="shared" ref="D9:AE9" si="2">C9+1</f>
        <v>3</v>
      </c>
      <c r="E9" s="44">
        <f t="shared" si="2"/>
        <v>4</v>
      </c>
      <c r="F9" s="44">
        <f t="shared" si="2"/>
        <v>5</v>
      </c>
      <c r="G9" s="44">
        <f t="shared" si="2"/>
        <v>6</v>
      </c>
      <c r="H9" s="44">
        <f t="shared" si="2"/>
        <v>7</v>
      </c>
      <c r="I9" s="44">
        <f t="shared" si="2"/>
        <v>8</v>
      </c>
      <c r="J9" s="44">
        <f t="shared" si="2"/>
        <v>9</v>
      </c>
      <c r="K9" s="44">
        <f t="shared" si="2"/>
        <v>10</v>
      </c>
      <c r="L9" s="44">
        <f t="shared" si="2"/>
        <v>11</v>
      </c>
      <c r="M9" s="44">
        <f t="shared" si="2"/>
        <v>12</v>
      </c>
      <c r="N9" s="44">
        <f t="shared" si="2"/>
        <v>13</v>
      </c>
      <c r="O9" s="44">
        <f t="shared" si="2"/>
        <v>14</v>
      </c>
      <c r="P9" s="44">
        <f t="shared" si="2"/>
        <v>15</v>
      </c>
      <c r="Q9" s="44">
        <f t="shared" si="2"/>
        <v>16</v>
      </c>
      <c r="R9" s="44">
        <f t="shared" si="2"/>
        <v>17</v>
      </c>
      <c r="S9" s="44">
        <f t="shared" si="2"/>
        <v>18</v>
      </c>
      <c r="T9" s="44">
        <f t="shared" si="2"/>
        <v>19</v>
      </c>
      <c r="U9" s="44">
        <f t="shared" si="2"/>
        <v>20</v>
      </c>
      <c r="V9" s="44">
        <f t="shared" si="2"/>
        <v>21</v>
      </c>
      <c r="W9" s="44">
        <f t="shared" si="2"/>
        <v>22</v>
      </c>
      <c r="X9" s="44">
        <f t="shared" si="2"/>
        <v>23</v>
      </c>
      <c r="Y9" s="44">
        <f t="shared" si="2"/>
        <v>24</v>
      </c>
      <c r="Z9" s="44">
        <f t="shared" si="2"/>
        <v>25</v>
      </c>
      <c r="AA9" s="44">
        <f t="shared" si="2"/>
        <v>26</v>
      </c>
      <c r="AB9" s="44">
        <f t="shared" si="2"/>
        <v>27</v>
      </c>
      <c r="AC9" s="44">
        <f t="shared" si="2"/>
        <v>28</v>
      </c>
      <c r="AD9" s="44">
        <f t="shared" si="2"/>
        <v>29</v>
      </c>
      <c r="AE9" s="44">
        <f t="shared" si="2"/>
        <v>30</v>
      </c>
    </row>
    <row r="10" spans="1:31" x14ac:dyDescent="0.25">
      <c r="A10" t="s">
        <v>34</v>
      </c>
      <c r="B10" s="47">
        <f>S4</f>
        <v>9.6472807909677039E-3</v>
      </c>
      <c r="C10" s="47">
        <f>B10</f>
        <v>9.6472807909677039E-3</v>
      </c>
      <c r="D10" s="47">
        <f t="shared" ref="D10:AE10" si="3">C10</f>
        <v>9.6472807909677039E-3</v>
      </c>
      <c r="E10" s="47">
        <f t="shared" si="3"/>
        <v>9.6472807909677039E-3</v>
      </c>
      <c r="F10" s="47">
        <f t="shared" si="3"/>
        <v>9.6472807909677039E-3</v>
      </c>
      <c r="G10" s="47">
        <f t="shared" si="3"/>
        <v>9.6472807909677039E-3</v>
      </c>
      <c r="H10" s="47">
        <f t="shared" si="3"/>
        <v>9.6472807909677039E-3</v>
      </c>
      <c r="I10" s="47">
        <f t="shared" si="3"/>
        <v>9.6472807909677039E-3</v>
      </c>
      <c r="J10" s="47">
        <f t="shared" si="3"/>
        <v>9.6472807909677039E-3</v>
      </c>
      <c r="K10" s="47">
        <f t="shared" si="3"/>
        <v>9.6472807909677039E-3</v>
      </c>
      <c r="L10" s="47">
        <f t="shared" si="3"/>
        <v>9.6472807909677039E-3</v>
      </c>
      <c r="M10" s="47">
        <f t="shared" si="3"/>
        <v>9.6472807909677039E-3</v>
      </c>
      <c r="N10" s="47">
        <f t="shared" si="3"/>
        <v>9.6472807909677039E-3</v>
      </c>
      <c r="O10" s="47">
        <f t="shared" si="3"/>
        <v>9.6472807909677039E-3</v>
      </c>
      <c r="P10" s="47">
        <f t="shared" si="3"/>
        <v>9.6472807909677039E-3</v>
      </c>
      <c r="Q10" s="47">
        <f t="shared" si="3"/>
        <v>9.6472807909677039E-3</v>
      </c>
      <c r="R10" s="47">
        <f t="shared" si="3"/>
        <v>9.6472807909677039E-3</v>
      </c>
      <c r="S10" s="47">
        <f t="shared" si="3"/>
        <v>9.6472807909677039E-3</v>
      </c>
      <c r="T10" s="47">
        <f t="shared" si="3"/>
        <v>9.6472807909677039E-3</v>
      </c>
      <c r="U10" s="47">
        <f t="shared" si="3"/>
        <v>9.6472807909677039E-3</v>
      </c>
      <c r="V10" s="47">
        <f t="shared" si="3"/>
        <v>9.6472807909677039E-3</v>
      </c>
      <c r="W10" s="47">
        <f t="shared" si="3"/>
        <v>9.6472807909677039E-3</v>
      </c>
      <c r="X10" s="47">
        <f t="shared" si="3"/>
        <v>9.6472807909677039E-3</v>
      </c>
      <c r="Y10" s="47">
        <f t="shared" si="3"/>
        <v>9.6472807909677039E-3</v>
      </c>
      <c r="Z10" s="47">
        <f t="shared" si="3"/>
        <v>9.6472807909677039E-3</v>
      </c>
      <c r="AA10" s="47">
        <f t="shared" si="3"/>
        <v>9.6472807909677039E-3</v>
      </c>
      <c r="AB10" s="47">
        <f t="shared" si="3"/>
        <v>9.6472807909677039E-3</v>
      </c>
      <c r="AC10" s="47">
        <f t="shared" si="3"/>
        <v>9.6472807909677039E-3</v>
      </c>
      <c r="AD10" s="47">
        <f t="shared" si="3"/>
        <v>9.6472807909677039E-3</v>
      </c>
      <c r="AE10" s="47">
        <f t="shared" si="3"/>
        <v>9.6472807909677039E-3</v>
      </c>
    </row>
    <row r="11" spans="1:31" x14ac:dyDescent="0.25">
      <c r="A11" t="s">
        <v>33</v>
      </c>
      <c r="B11" s="1">
        <f>B3</f>
        <v>1013.7549124687399</v>
      </c>
      <c r="C11" s="1">
        <f>B11*(1+B10)</f>
        <v>1023.5348907625488</v>
      </c>
      <c r="D11" s="1">
        <f t="shared" ref="D11:AE11" si="4">C11*(1+C10)</f>
        <v>1033.4092192530877</v>
      </c>
      <c r="E11" s="1">
        <f t="shared" si="4"/>
        <v>1043.3788081631969</v>
      </c>
      <c r="F11" s="1">
        <f t="shared" si="4"/>
        <v>1053.4445764968925</v>
      </c>
      <c r="G11" s="1">
        <f t="shared" si="4"/>
        <v>1063.6074521240803</v>
      </c>
      <c r="H11" s="1">
        <f t="shared" si="4"/>
        <v>1073.868371866087</v>
      </c>
      <c r="I11" s="1">
        <f t="shared" si="4"/>
        <v>1084.2282815820186</v>
      </c>
      <c r="J11" s="1">
        <f t="shared" si="4"/>
        <v>1094.6881362559488</v>
      </c>
      <c r="K11" s="1">
        <f t="shared" si="4"/>
        <v>1105.2489000849512</v>
      </c>
      <c r="L11" s="1">
        <f t="shared" si="4"/>
        <v>1115.911546567979</v>
      </c>
      <c r="M11" s="1">
        <f t="shared" si="4"/>
        <v>1126.6770585956035</v>
      </c>
      <c r="N11" s="1">
        <f t="shared" si="4"/>
        <v>1137.5464285406169</v>
      </c>
      <c r="O11" s="1">
        <f t="shared" si="4"/>
        <v>1148.5206583495108</v>
      </c>
      <c r="P11" s="1">
        <f t="shared" si="4"/>
        <v>1159.6007596348356</v>
      </c>
      <c r="Q11" s="1">
        <f t="shared" si="4"/>
        <v>1170.7877537684524</v>
      </c>
      <c r="R11" s="1">
        <f t="shared" si="4"/>
        <v>1182.0826719756831</v>
      </c>
      <c r="S11" s="1">
        <f t="shared" si="4"/>
        <v>1193.4865554303699</v>
      </c>
      <c r="T11" s="1">
        <f t="shared" si="4"/>
        <v>1205.0004553508516</v>
      </c>
      <c r="U11" s="1">
        <f t="shared" si="4"/>
        <v>1216.6254330968652</v>
      </c>
      <c r="V11" s="1">
        <f t="shared" si="4"/>
        <v>1228.3625602673835</v>
      </c>
      <c r="W11" s="1">
        <f t="shared" si="4"/>
        <v>1240.2129187993951</v>
      </c>
      <c r="X11" s="1">
        <f t="shared" si="4"/>
        <v>1252.1776010676385</v>
      </c>
      <c r="Y11" s="1">
        <f t="shared" si="4"/>
        <v>1264.2577099852986</v>
      </c>
      <c r="Z11" s="1">
        <f t="shared" si="4"/>
        <v>1276.4543591056727</v>
      </c>
      <c r="AA11" s="1">
        <f t="shared" si="4"/>
        <v>1288.7686727248199</v>
      </c>
      <c r="AB11" s="1">
        <f t="shared" si="4"/>
        <v>1301.2017859851992</v>
      </c>
      <c r="AC11" s="1">
        <f t="shared" si="4"/>
        <v>1313.7548449803071</v>
      </c>
      <c r="AD11" s="1">
        <f t="shared" si="4"/>
        <v>1326.4290068603264</v>
      </c>
      <c r="AE11" s="1">
        <f t="shared" si="4"/>
        <v>1339.2254399387925</v>
      </c>
    </row>
    <row r="12" spans="1:31" x14ac:dyDescent="0.25">
      <c r="A12" t="s">
        <v>80</v>
      </c>
      <c r="B12" s="45">
        <f>B7</f>
        <v>58.149779735682763</v>
      </c>
      <c r="C12" s="45">
        <f>B31</f>
        <v>58.149779735682763</v>
      </c>
      <c r="D12" s="45">
        <f t="shared" ref="D12:AE12" si="5">C31</f>
        <v>58.149779735682763</v>
      </c>
      <c r="E12" s="45">
        <f t="shared" si="5"/>
        <v>58.149779735682763</v>
      </c>
      <c r="F12" s="45">
        <f t="shared" si="5"/>
        <v>58.149779735682763</v>
      </c>
      <c r="G12" s="45">
        <f t="shared" si="5"/>
        <v>58.149779735682763</v>
      </c>
      <c r="H12" s="45">
        <f t="shared" si="5"/>
        <v>58.149779735682763</v>
      </c>
      <c r="I12" s="45">
        <f t="shared" si="5"/>
        <v>58.149779735682763</v>
      </c>
      <c r="J12" s="45">
        <f t="shared" si="5"/>
        <v>58.149779735682763</v>
      </c>
      <c r="K12" s="45">
        <f t="shared" si="5"/>
        <v>58.149779735682763</v>
      </c>
      <c r="L12" s="45">
        <f t="shared" si="5"/>
        <v>58.149779735682763</v>
      </c>
      <c r="M12" s="45">
        <f t="shared" si="5"/>
        <v>58.149779735682763</v>
      </c>
      <c r="N12" s="45">
        <f t="shared" si="5"/>
        <v>58.149779735682763</v>
      </c>
      <c r="O12" s="45">
        <f t="shared" si="5"/>
        <v>58.149779735682763</v>
      </c>
      <c r="P12" s="45">
        <f t="shared" si="5"/>
        <v>58.149779735682763</v>
      </c>
      <c r="Q12" s="45">
        <f t="shared" si="5"/>
        <v>58.149779735682763</v>
      </c>
      <c r="R12" s="45">
        <f t="shared" si="5"/>
        <v>60.451775571199853</v>
      </c>
      <c r="S12" s="45">
        <f t="shared" si="5"/>
        <v>62.844901327600994</v>
      </c>
      <c r="T12" s="45">
        <f t="shared" si="5"/>
        <v>65.332764597199002</v>
      </c>
      <c r="U12" s="45">
        <f t="shared" si="5"/>
        <v>67.919115787335713</v>
      </c>
      <c r="V12" s="45">
        <f t="shared" si="5"/>
        <v>70.607853774050881</v>
      </c>
      <c r="W12" s="45">
        <f t="shared" si="5"/>
        <v>73.403031779564884</v>
      </c>
      <c r="X12" s="45">
        <f t="shared" si="5"/>
        <v>76.308863482435441</v>
      </c>
      <c r="Y12" s="45">
        <f t="shared" si="5"/>
        <v>79.329729369599164</v>
      </c>
      <c r="Z12" s="45">
        <f t="shared" si="5"/>
        <v>82.470183339873699</v>
      </c>
      <c r="AA12" s="45">
        <f t="shared" si="5"/>
        <v>85.734959568875027</v>
      </c>
      <c r="AB12" s="45">
        <f t="shared" si="5"/>
        <v>89.128979645698607</v>
      </c>
      <c r="AC12" s="45">
        <f t="shared" si="5"/>
        <v>92.657359992122906</v>
      </c>
      <c r="AD12" s="45">
        <f t="shared" si="5"/>
        <v>96.325419575519547</v>
      </c>
      <c r="AE12" s="45">
        <f t="shared" si="5"/>
        <v>100.13868792709705</v>
      </c>
    </row>
    <row r="13" spans="1:31" x14ac:dyDescent="0.25">
      <c r="A13" t="s">
        <v>83</v>
      </c>
      <c r="B13" s="1">
        <f>B12*B11*(1+$B$2)</f>
        <v>66000</v>
      </c>
      <c r="C13" s="1">
        <f t="shared" ref="C13:AE13" si="6">C12*C11*(1+$B$2)</f>
        <v>66636.720532203879</v>
      </c>
      <c r="D13" s="1">
        <f t="shared" si="6"/>
        <v>67279.583686167301</v>
      </c>
      <c r="E13" s="1">
        <f t="shared" si="6"/>
        <v>67928.648721487159</v>
      </c>
      <c r="F13" s="1">
        <f t="shared" si="6"/>
        <v>68583.975469454352</v>
      </c>
      <c r="G13" s="1">
        <f t="shared" si="6"/>
        <v>69245.624338569032</v>
      </c>
      <c r="H13" s="1">
        <f t="shared" si="6"/>
        <v>69913.65632010909</v>
      </c>
      <c r="I13" s="1">
        <f t="shared" si="6"/>
        <v>70588.132993752384</v>
      </c>
      <c r="J13" s="1">
        <f t="shared" si="6"/>
        <v>71269.116533253313</v>
      </c>
      <c r="K13" s="1">
        <f t="shared" si="6"/>
        <v>71956.669712173811</v>
      </c>
      <c r="L13" s="1">
        <f t="shared" si="6"/>
        <v>72650.855909670077</v>
      </c>
      <c r="M13" s="1">
        <f t="shared" si="6"/>
        <v>73351.739116334807</v>
      </c>
      <c r="N13" s="1">
        <f t="shared" si="6"/>
        <v>74059.383940095897</v>
      </c>
      <c r="O13" s="1">
        <f t="shared" si="6"/>
        <v>74773.85561217209</v>
      </c>
      <c r="P13" s="1">
        <f t="shared" si="6"/>
        <v>75495.219993085993</v>
      </c>
      <c r="Q13" s="1">
        <f t="shared" si="6"/>
        <v>76223.543578735174</v>
      </c>
      <c r="R13" s="1">
        <f t="shared" si="6"/>
        <v>80005.492361466488</v>
      </c>
      <c r="S13" s="1">
        <f t="shared" si="6"/>
        <v>83975.088371336053</v>
      </c>
      <c r="T13" s="1">
        <f t="shared" si="6"/>
        <v>88141.642015193778</v>
      </c>
      <c r="U13" s="1">
        <f t="shared" si="6"/>
        <v>92514.925650098114</v>
      </c>
      <c r="V13" s="1">
        <f t="shared" si="6"/>
        <v>97105.1965036888</v>
      </c>
      <c r="W13" s="1">
        <f t="shared" si="6"/>
        <v>101923.22073178916</v>
      </c>
      <c r="X13" s="1">
        <f t="shared" si="6"/>
        <v>106980.29866966374</v>
      </c>
      <c r="Y13" s="1">
        <f t="shared" si="6"/>
        <v>112288.29133615583</v>
      </c>
      <c r="Z13" s="1">
        <f t="shared" si="6"/>
        <v>117859.64825286873</v>
      </c>
      <c r="AA13" s="1">
        <f t="shared" si="6"/>
        <v>123707.43664363871</v>
      </c>
      <c r="AB13" s="1">
        <f t="shared" si="6"/>
        <v>129845.37208278486</v>
      </c>
      <c r="AC13" s="1">
        <f t="shared" si="6"/>
        <v>136287.85066401915</v>
      </c>
      <c r="AD13" s="1">
        <f t="shared" si="6"/>
        <v>143049.9827654667</v>
      </c>
      <c r="AE13" s="1">
        <f t="shared" si="6"/>
        <v>150147.62848998958</v>
      </c>
    </row>
    <row r="15" spans="1:31" x14ac:dyDescent="0.25">
      <c r="A15" t="s">
        <v>78</v>
      </c>
      <c r="B15" s="47">
        <v>0.06</v>
      </c>
      <c r="C15" s="47">
        <v>0.06</v>
      </c>
      <c r="D15" s="47">
        <v>0.06</v>
      </c>
      <c r="E15" s="47">
        <v>0.06</v>
      </c>
      <c r="F15" s="47">
        <v>0.06</v>
      </c>
      <c r="G15" s="47">
        <v>0.06</v>
      </c>
      <c r="H15" s="47">
        <v>0.06</v>
      </c>
      <c r="I15" s="47">
        <v>0.06</v>
      </c>
      <c r="J15" s="47">
        <v>0.06</v>
      </c>
      <c r="K15" s="47">
        <v>0.06</v>
      </c>
      <c r="L15" s="47">
        <v>0.06</v>
      </c>
      <c r="M15" s="47">
        <v>0.06</v>
      </c>
      <c r="N15" s="47">
        <v>0.06</v>
      </c>
      <c r="O15" s="47">
        <v>0.06</v>
      </c>
      <c r="P15" s="47">
        <v>0.06</v>
      </c>
      <c r="Q15" s="47">
        <v>0.06</v>
      </c>
      <c r="R15" s="47">
        <v>0.06</v>
      </c>
      <c r="S15" s="47">
        <v>0.06</v>
      </c>
      <c r="T15" s="47">
        <v>0.06</v>
      </c>
      <c r="U15" s="47">
        <v>0.06</v>
      </c>
      <c r="V15" s="47">
        <v>0.06</v>
      </c>
      <c r="W15" s="47">
        <v>0.06</v>
      </c>
      <c r="X15" s="47">
        <v>0.06</v>
      </c>
      <c r="Y15" s="47">
        <v>0.06</v>
      </c>
      <c r="Z15" s="47">
        <v>0.06</v>
      </c>
      <c r="AA15" s="47">
        <v>0.06</v>
      </c>
      <c r="AB15" s="47">
        <v>0.06</v>
      </c>
      <c r="AC15" s="47">
        <v>0.06</v>
      </c>
      <c r="AD15" s="47">
        <v>0.06</v>
      </c>
      <c r="AE15" s="47">
        <v>0.06</v>
      </c>
    </row>
    <row r="16" spans="1:31" x14ac:dyDescent="0.25">
      <c r="A16" t="s">
        <v>41</v>
      </c>
      <c r="B16" s="1">
        <f>B11*B15*B12</f>
        <v>3536.9774919614151</v>
      </c>
      <c r="C16" s="1">
        <f t="shared" ref="C16:AE16" si="7">C11*C15*C12</f>
        <v>3571.0997069776995</v>
      </c>
      <c r="D16" s="1">
        <f t="shared" si="7"/>
        <v>3605.5511085834569</v>
      </c>
      <c r="E16" s="1">
        <f t="shared" si="7"/>
        <v>3640.3348725341461</v>
      </c>
      <c r="F16" s="1">
        <f t="shared" si="7"/>
        <v>3675.4542052226348</v>
      </c>
      <c r="G16" s="1">
        <f t="shared" si="7"/>
        <v>3710.9123439747609</v>
      </c>
      <c r="H16" s="1">
        <f t="shared" si="7"/>
        <v>3746.7125573477538</v>
      </c>
      <c r="I16" s="1">
        <f t="shared" si="7"/>
        <v>3782.8581454315326</v>
      </c>
      <c r="J16" s="1">
        <f t="shared" si="7"/>
        <v>3819.3524401529103</v>
      </c>
      <c r="K16" s="1">
        <f t="shared" si="7"/>
        <v>3856.1988055827337</v>
      </c>
      <c r="L16" s="1">
        <f t="shared" si="7"/>
        <v>3893.4006382459847</v>
      </c>
      <c r="M16" s="1">
        <f t="shared" si="7"/>
        <v>3930.9613674348766</v>
      </c>
      <c r="N16" s="1">
        <f t="shared" si="7"/>
        <v>3968.884455524968</v>
      </c>
      <c r="O16" s="1">
        <f t="shared" si="7"/>
        <v>4007.1733982943238</v>
      </c>
      <c r="P16" s="1">
        <f t="shared" si="7"/>
        <v>4045.8317252457659</v>
      </c>
      <c r="Q16" s="1">
        <f t="shared" si="7"/>
        <v>4084.8629999322179</v>
      </c>
      <c r="R16" s="1">
        <f t="shared" si="7"/>
        <v>4287.5397835726944</v>
      </c>
      <c r="S16" s="1">
        <f t="shared" si="7"/>
        <v>4500.2726887103991</v>
      </c>
      <c r="T16" s="1">
        <f t="shared" si="7"/>
        <v>4723.560665337287</v>
      </c>
      <c r="U16" s="1">
        <f t="shared" si="7"/>
        <v>4957.9274196194065</v>
      </c>
      <c r="V16" s="1">
        <f t="shared" si="7"/>
        <v>5203.9226422126903</v>
      </c>
      <c r="W16" s="1">
        <f t="shared" si="7"/>
        <v>5462.1232975235343</v>
      </c>
      <c r="X16" s="1">
        <f t="shared" si="7"/>
        <v>5733.1349769380367</v>
      </c>
      <c r="Y16" s="1">
        <f t="shared" si="7"/>
        <v>6017.5933191937756</v>
      </c>
      <c r="Z16" s="1">
        <f t="shared" si="7"/>
        <v>6316.1655012255478</v>
      </c>
      <c r="AA16" s="1">
        <f t="shared" si="7"/>
        <v>6629.5518029817104</v>
      </c>
      <c r="AB16" s="1">
        <f t="shared" si="7"/>
        <v>6958.4872498812892</v>
      </c>
      <c r="AC16" s="1">
        <f t="shared" si="7"/>
        <v>7303.7433367641561</v>
      </c>
      <c r="AD16" s="1">
        <f t="shared" si="7"/>
        <v>7666.1298373776381</v>
      </c>
      <c r="AE16" s="1">
        <f t="shared" si="7"/>
        <v>8046.4967036436001</v>
      </c>
    </row>
    <row r="17" spans="1:31" x14ac:dyDescent="0.25">
      <c r="A17" t="s">
        <v>42</v>
      </c>
      <c r="B17" s="46">
        <v>0.17</v>
      </c>
      <c r="C17" s="46">
        <v>0.17</v>
      </c>
      <c r="D17" s="46">
        <v>0.17</v>
      </c>
      <c r="E17" s="46">
        <v>0.17</v>
      </c>
      <c r="F17" s="46">
        <v>0.17</v>
      </c>
      <c r="G17" s="46">
        <v>0.17</v>
      </c>
      <c r="H17" s="46">
        <v>0.17</v>
      </c>
      <c r="I17" s="46">
        <v>0.17</v>
      </c>
      <c r="J17" s="46">
        <v>0.17</v>
      </c>
      <c r="K17" s="46">
        <v>0.17</v>
      </c>
      <c r="L17" s="46">
        <v>0.17</v>
      </c>
      <c r="M17" s="46">
        <v>0.17</v>
      </c>
      <c r="N17" s="46">
        <v>0.17</v>
      </c>
      <c r="O17" s="46">
        <v>0.17</v>
      </c>
      <c r="P17" s="46">
        <v>0.17</v>
      </c>
      <c r="Q17" s="46">
        <v>0.17</v>
      </c>
      <c r="R17" s="46">
        <v>0.17</v>
      </c>
      <c r="S17" s="46">
        <v>0.17</v>
      </c>
      <c r="T17" s="46">
        <v>0.17</v>
      </c>
      <c r="U17" s="46">
        <v>0.17</v>
      </c>
      <c r="V17" s="46">
        <v>0.17</v>
      </c>
      <c r="W17" s="46">
        <v>0.17</v>
      </c>
      <c r="X17" s="46">
        <v>0.17</v>
      </c>
      <c r="Y17" s="46">
        <v>0.17</v>
      </c>
      <c r="Z17" s="46">
        <v>0.17</v>
      </c>
      <c r="AA17" s="46">
        <v>0.17</v>
      </c>
      <c r="AB17" s="46">
        <v>0.17</v>
      </c>
      <c r="AC17" s="46">
        <v>0.17</v>
      </c>
      <c r="AD17" s="46">
        <v>0.17</v>
      </c>
      <c r="AE17" s="46">
        <v>0.17</v>
      </c>
    </row>
    <row r="18" spans="1:31" x14ac:dyDescent="0.25">
      <c r="A18" t="s">
        <v>44</v>
      </c>
      <c r="B18" s="48">
        <f>B17*B16</f>
        <v>601.28617363344063</v>
      </c>
      <c r="C18" s="48">
        <f t="shared" ref="C18:AE18" si="8">C17*C16</f>
        <v>607.08695018620892</v>
      </c>
      <c r="D18" s="48">
        <f t="shared" si="8"/>
        <v>612.94368845918768</v>
      </c>
      <c r="E18" s="48">
        <f t="shared" si="8"/>
        <v>618.85692833080486</v>
      </c>
      <c r="F18" s="48">
        <f t="shared" si="8"/>
        <v>624.82721488784796</v>
      </c>
      <c r="G18" s="48">
        <f t="shared" si="8"/>
        <v>630.85509847570938</v>
      </c>
      <c r="H18" s="48">
        <f t="shared" si="8"/>
        <v>636.94113474911819</v>
      </c>
      <c r="I18" s="48">
        <f t="shared" si="8"/>
        <v>643.08588472336055</v>
      </c>
      <c r="J18" s="48">
        <f t="shared" si="8"/>
        <v>649.28991482599474</v>
      </c>
      <c r="K18" s="48">
        <f t="shared" si="8"/>
        <v>655.5537969490648</v>
      </c>
      <c r="L18" s="48">
        <f t="shared" si="8"/>
        <v>661.87810850181745</v>
      </c>
      <c r="M18" s="48">
        <f t="shared" si="8"/>
        <v>668.26343246392912</v>
      </c>
      <c r="N18" s="48">
        <f t="shared" si="8"/>
        <v>674.7103574392446</v>
      </c>
      <c r="O18" s="48">
        <f t="shared" si="8"/>
        <v>681.21947771003511</v>
      </c>
      <c r="P18" s="48">
        <f t="shared" si="8"/>
        <v>687.79139329178031</v>
      </c>
      <c r="Q18" s="48">
        <f t="shared" si="8"/>
        <v>694.42670998847711</v>
      </c>
      <c r="R18" s="48">
        <f t="shared" si="8"/>
        <v>728.88176320735806</v>
      </c>
      <c r="S18" s="48">
        <f t="shared" si="8"/>
        <v>765.04635708076785</v>
      </c>
      <c r="T18" s="48">
        <f t="shared" si="8"/>
        <v>803.00531310733879</v>
      </c>
      <c r="U18" s="48">
        <f t="shared" si="8"/>
        <v>842.84766133529911</v>
      </c>
      <c r="V18" s="48">
        <f t="shared" si="8"/>
        <v>884.66684917615737</v>
      </c>
      <c r="W18" s="48">
        <f t="shared" si="8"/>
        <v>928.56096057900095</v>
      </c>
      <c r="X18" s="48">
        <f t="shared" si="8"/>
        <v>974.63294607946636</v>
      </c>
      <c r="Y18" s="48">
        <f t="shared" si="8"/>
        <v>1022.990864262942</v>
      </c>
      <c r="Z18" s="48">
        <f t="shared" si="8"/>
        <v>1073.7481352083432</v>
      </c>
      <c r="AA18" s="48">
        <f t="shared" si="8"/>
        <v>1127.0238065068909</v>
      </c>
      <c r="AB18" s="48">
        <f t="shared" si="8"/>
        <v>1182.9428324798193</v>
      </c>
      <c r="AC18" s="48">
        <f t="shared" si="8"/>
        <v>1241.6363672499067</v>
      </c>
      <c r="AD18" s="48">
        <f t="shared" si="8"/>
        <v>1303.2420723541986</v>
      </c>
      <c r="AE18" s="48">
        <f t="shared" si="8"/>
        <v>1367.9044396194122</v>
      </c>
    </row>
    <row r="19" spans="1:31" s="1" customFormat="1" x14ac:dyDescent="0.25">
      <c r="A19" s="1" t="s">
        <v>45</v>
      </c>
      <c r="B19" s="1">
        <f>B16-B18</f>
        <v>2935.6913183279744</v>
      </c>
      <c r="C19" s="1">
        <f t="shared" ref="C19:AE19" si="9">C16-C18</f>
        <v>2964.0127567914906</v>
      </c>
      <c r="D19" s="1">
        <f t="shared" si="9"/>
        <v>2992.6074201242691</v>
      </c>
      <c r="E19" s="1">
        <f t="shared" si="9"/>
        <v>3021.4779442033414</v>
      </c>
      <c r="F19" s="1">
        <f t="shared" si="9"/>
        <v>3050.6269903347866</v>
      </c>
      <c r="G19" s="1">
        <f t="shared" si="9"/>
        <v>3080.0572454990515</v>
      </c>
      <c r="H19" s="1">
        <f t="shared" si="9"/>
        <v>3109.7714225986356</v>
      </c>
      <c r="I19" s="1">
        <f t="shared" si="9"/>
        <v>3139.7722607081723</v>
      </c>
      <c r="J19" s="1">
        <f t="shared" si="9"/>
        <v>3170.0625253269154</v>
      </c>
      <c r="K19" s="1">
        <f t="shared" si="9"/>
        <v>3200.645008633669</v>
      </c>
      <c r="L19" s="1">
        <f t="shared" si="9"/>
        <v>3231.5225297441675</v>
      </c>
      <c r="M19" s="1">
        <f t="shared" si="9"/>
        <v>3262.6979349709472</v>
      </c>
      <c r="N19" s="1">
        <f t="shared" si="9"/>
        <v>3294.1740980857235</v>
      </c>
      <c r="O19" s="1">
        <f t="shared" si="9"/>
        <v>3325.9539205842884</v>
      </c>
      <c r="P19" s="1">
        <f t="shared" si="9"/>
        <v>3358.0403319539855</v>
      </c>
      <c r="Q19" s="1">
        <f t="shared" si="9"/>
        <v>3390.436289943741</v>
      </c>
      <c r="R19" s="1">
        <f t="shared" si="9"/>
        <v>3558.6580203653366</v>
      </c>
      <c r="S19" s="1">
        <f t="shared" si="9"/>
        <v>3735.2263316296312</v>
      </c>
      <c r="T19" s="1">
        <f t="shared" si="9"/>
        <v>3920.5553522299483</v>
      </c>
      <c r="U19" s="1">
        <f t="shared" si="9"/>
        <v>4115.0797582841078</v>
      </c>
      <c r="V19" s="1">
        <f t="shared" si="9"/>
        <v>4319.2557930365329</v>
      </c>
      <c r="W19" s="1">
        <f t="shared" si="9"/>
        <v>4533.5623369445329</v>
      </c>
      <c r="X19" s="1">
        <f t="shared" si="9"/>
        <v>4758.5020308585699</v>
      </c>
      <c r="Y19" s="1">
        <f t="shared" si="9"/>
        <v>4994.602454930834</v>
      </c>
      <c r="Z19" s="1">
        <f t="shared" si="9"/>
        <v>5242.4173660172046</v>
      </c>
      <c r="AA19" s="1">
        <f t="shared" si="9"/>
        <v>5502.5279964748197</v>
      </c>
      <c r="AB19" s="1">
        <f t="shared" si="9"/>
        <v>5775.5444174014701</v>
      </c>
      <c r="AC19" s="1">
        <f t="shared" si="9"/>
        <v>6062.1069695142496</v>
      </c>
      <c r="AD19" s="1">
        <f t="shared" si="9"/>
        <v>6362.887765023439</v>
      </c>
      <c r="AE19" s="1">
        <f t="shared" si="9"/>
        <v>6678.5922640241879</v>
      </c>
    </row>
    <row r="21" spans="1:31" x14ac:dyDescent="0.25">
      <c r="A21" t="s">
        <v>48</v>
      </c>
      <c r="B21" s="1">
        <f>IF(B19&gt;Investissement!B10,B19-Investissement!B10,0)</f>
        <v>1538.4246967840313</v>
      </c>
      <c r="C21" s="1">
        <f>IF(C19&gt;Investissement!C10,C19-Investissement!C10,0)</f>
        <v>1646.5948459858446</v>
      </c>
      <c r="D21" s="1">
        <f>IF(D19&gt;Investissement!D10,D19-Investissement!D10,0)</f>
        <v>1757.139205878678</v>
      </c>
      <c r="E21" s="1">
        <f>IF(E19&gt;Investissement!E10,E19-Investissement!E10,0)</f>
        <v>1870.1156936507118</v>
      </c>
      <c r="F21" s="1">
        <f>IF(F19&gt;Investissement!F10,F19-Investissement!F10,0)</f>
        <v>1985.5837064855655</v>
      </c>
      <c r="G21" s="1">
        <f>IF(G19&gt;Investissement!G10,G19-Investissement!G10,0)</f>
        <v>2103.6041600802855</v>
      </c>
      <c r="H21" s="1">
        <f>IF(H19&gt;Investissement!H10,H19-Investissement!H10,0)</f>
        <v>2224.2395281727358</v>
      </c>
      <c r="I21" s="1">
        <f>IF(I19&gt;Investissement!I10,I19-Investissement!I10,0)</f>
        <v>2347.5538831049116</v>
      </c>
      <c r="J21" s="1">
        <f>IF(J19&gt;Investissement!J10,J19-Investissement!J10,0)</f>
        <v>2473.6129374493867</v>
      </c>
      <c r="K21" s="1">
        <f>IF(K19&gt;Investissement!K10,K19-Investissement!K10,0)</f>
        <v>2602.4840867268395</v>
      </c>
      <c r="L21" s="1">
        <f>IF(L19&gt;Investissement!L10,L19-Investissement!L10,0)</f>
        <v>2734.2364532433025</v>
      </c>
      <c r="M21" s="1">
        <f>IF(M19&gt;Investissement!M10,M19-Investissement!M10,0)</f>
        <v>2868.94093107659</v>
      </c>
      <c r="N21" s="1">
        <f>IF(N19&gt;Investissement!N10,N19-Investissement!N10,0)</f>
        <v>3006.6702322420724</v>
      </c>
      <c r="O21" s="1">
        <f>IF(O19&gt;Investissement!O10,O19-Investissement!O10,0)</f>
        <v>3147.4989340687871</v>
      </c>
      <c r="P21" s="1">
        <f>IF(P19&gt;Investissement!P10,P19-Investissement!P10,0)</f>
        <v>3291.5035278177243</v>
      </c>
      <c r="Q21" s="1">
        <f>IF(Q19&gt;Investissement!Q10,Q19-Investissement!Q10,0)</f>
        <v>3390.436289943741</v>
      </c>
      <c r="R21" s="1">
        <f>IF(R19&gt;Investissement!R10,R19-Investissement!R10,0)</f>
        <v>3558.6580203653366</v>
      </c>
      <c r="S21" s="1">
        <f>IF(S19&gt;Investissement!S10,S19-Investissement!S10,0)</f>
        <v>3735.2263316296312</v>
      </c>
      <c r="T21" s="1">
        <f>IF(T19&gt;Investissement!T10,T19-Investissement!T10,0)</f>
        <v>3920.5553522299483</v>
      </c>
      <c r="U21" s="1">
        <f>IF(U19&gt;Investissement!U10,U19-Investissement!U10,0)</f>
        <v>4115.0797582841078</v>
      </c>
      <c r="V21" s="1">
        <f>IF(V19&gt;Investissement!V10,V19-Investissement!V10,0)</f>
        <v>4319.2557930365329</v>
      </c>
      <c r="W21" s="1">
        <f>IF(W19&gt;Investissement!W10,W19-Investissement!W10,0)</f>
        <v>4533.5623369445329</v>
      </c>
      <c r="X21" s="1">
        <f>IF(X19&gt;Investissement!X10,X19-Investissement!X10,0)</f>
        <v>4758.5020308585699</v>
      </c>
      <c r="Y21" s="1">
        <f>IF(Y19&gt;Investissement!Y10,Y19-Investissement!Y10,0)</f>
        <v>4994.602454930834</v>
      </c>
      <c r="Z21" s="1">
        <f>IF(Z19&gt;Investissement!Z10,Z19-Investissement!Z10,0)</f>
        <v>5242.4173660172046</v>
      </c>
      <c r="AA21" s="1">
        <f>IF(AA19&gt;Investissement!AA10,AA19-Investissement!AA10,0)</f>
        <v>5502.5279964748197</v>
      </c>
      <c r="AB21" s="1">
        <f>IF(AB19&gt;Investissement!AB10,AB19-Investissement!AB10,0)</f>
        <v>5775.5444174014701</v>
      </c>
      <c r="AC21" s="1">
        <f>IF(AC19&gt;Investissement!AC10,AC19-Investissement!AC10,0)</f>
        <v>6062.1069695142496</v>
      </c>
      <c r="AD21" s="1">
        <f>IF(AD19&gt;Investissement!AD10,AD19-Investissement!AD10,0)</f>
        <v>6362.887765023439</v>
      </c>
      <c r="AE21" s="1">
        <f>IF(AE19&gt;Investissement!AE10,AE19-Investissement!AE10,0)</f>
        <v>6678.5922640241879</v>
      </c>
    </row>
    <row r="22" spans="1:31" x14ac:dyDescent="0.25">
      <c r="A22" t="s">
        <v>43</v>
      </c>
      <c r="B22" s="46">
        <f>Investissement!B13</f>
        <v>0.11</v>
      </c>
      <c r="C22" s="43">
        <f>B22</f>
        <v>0.11</v>
      </c>
      <c r="D22" s="43">
        <f t="shared" ref="D22:AE22" si="10">C22</f>
        <v>0.11</v>
      </c>
      <c r="E22" s="43">
        <f t="shared" si="10"/>
        <v>0.11</v>
      </c>
      <c r="F22" s="43">
        <f t="shared" si="10"/>
        <v>0.11</v>
      </c>
      <c r="G22" s="43">
        <f t="shared" si="10"/>
        <v>0.11</v>
      </c>
      <c r="H22" s="43">
        <f t="shared" si="10"/>
        <v>0.11</v>
      </c>
      <c r="I22" s="43">
        <f t="shared" si="10"/>
        <v>0.11</v>
      </c>
      <c r="J22" s="43">
        <f t="shared" si="10"/>
        <v>0.11</v>
      </c>
      <c r="K22" s="43">
        <f t="shared" si="10"/>
        <v>0.11</v>
      </c>
      <c r="L22" s="43">
        <f t="shared" si="10"/>
        <v>0.11</v>
      </c>
      <c r="M22" s="43">
        <f t="shared" si="10"/>
        <v>0.11</v>
      </c>
      <c r="N22" s="43">
        <f t="shared" si="10"/>
        <v>0.11</v>
      </c>
      <c r="O22" s="43">
        <f t="shared" si="10"/>
        <v>0.11</v>
      </c>
      <c r="P22" s="43">
        <f t="shared" si="10"/>
        <v>0.11</v>
      </c>
      <c r="Q22" s="43">
        <f t="shared" si="10"/>
        <v>0.11</v>
      </c>
      <c r="R22" s="43">
        <f t="shared" si="10"/>
        <v>0.11</v>
      </c>
      <c r="S22" s="43">
        <f t="shared" si="10"/>
        <v>0.11</v>
      </c>
      <c r="T22" s="43">
        <f t="shared" si="10"/>
        <v>0.11</v>
      </c>
      <c r="U22" s="43">
        <f t="shared" si="10"/>
        <v>0.11</v>
      </c>
      <c r="V22" s="43">
        <f t="shared" si="10"/>
        <v>0.11</v>
      </c>
      <c r="W22" s="43">
        <f t="shared" si="10"/>
        <v>0.11</v>
      </c>
      <c r="X22" s="43">
        <f t="shared" si="10"/>
        <v>0.11</v>
      </c>
      <c r="Y22" s="43">
        <f t="shared" si="10"/>
        <v>0.11</v>
      </c>
      <c r="Z22" s="43">
        <f t="shared" si="10"/>
        <v>0.11</v>
      </c>
      <c r="AA22" s="43">
        <f t="shared" si="10"/>
        <v>0.11</v>
      </c>
      <c r="AB22" s="43">
        <f t="shared" si="10"/>
        <v>0.11</v>
      </c>
      <c r="AC22" s="43">
        <f t="shared" si="10"/>
        <v>0.11</v>
      </c>
      <c r="AD22" s="43">
        <f t="shared" si="10"/>
        <v>0.11</v>
      </c>
      <c r="AE22" s="43">
        <f t="shared" si="10"/>
        <v>0.11</v>
      </c>
    </row>
    <row r="23" spans="1:31" x14ac:dyDescent="0.25">
      <c r="A23" t="s">
        <v>49</v>
      </c>
      <c r="B23" s="1">
        <f>B21*B22</f>
        <v>169.22671664624343</v>
      </c>
      <c r="C23" s="1">
        <f t="shared" ref="C23:AE23" si="11">C21*C22</f>
        <v>181.12543305844289</v>
      </c>
      <c r="D23" s="1">
        <f t="shared" si="11"/>
        <v>193.28531264665457</v>
      </c>
      <c r="E23" s="1">
        <f t="shared" si="11"/>
        <v>205.7127263015783</v>
      </c>
      <c r="F23" s="1">
        <f t="shared" si="11"/>
        <v>218.4142077134122</v>
      </c>
      <c r="G23" s="1">
        <f t="shared" si="11"/>
        <v>231.39645760883141</v>
      </c>
      <c r="H23" s="1">
        <f t="shared" si="11"/>
        <v>244.66634809900094</v>
      </c>
      <c r="I23" s="1">
        <f t="shared" si="11"/>
        <v>258.23092714154029</v>
      </c>
      <c r="J23" s="1">
        <f t="shared" si="11"/>
        <v>272.09742311943256</v>
      </c>
      <c r="K23" s="1">
        <f t="shared" si="11"/>
        <v>286.27324953995236</v>
      </c>
      <c r="L23" s="1">
        <f t="shared" si="11"/>
        <v>300.76600985676328</v>
      </c>
      <c r="M23" s="1">
        <f t="shared" si="11"/>
        <v>315.58350241842493</v>
      </c>
      <c r="N23" s="1">
        <f t="shared" si="11"/>
        <v>330.73372554662797</v>
      </c>
      <c r="O23" s="1">
        <f t="shared" si="11"/>
        <v>346.2248827475666</v>
      </c>
      <c r="P23" s="1">
        <f t="shared" si="11"/>
        <v>362.06538805994967</v>
      </c>
      <c r="Q23" s="1">
        <f t="shared" si="11"/>
        <v>372.94799189381149</v>
      </c>
      <c r="R23" s="1">
        <f t="shared" si="11"/>
        <v>391.45238224018703</v>
      </c>
      <c r="S23" s="1">
        <f t="shared" si="11"/>
        <v>410.87489647925946</v>
      </c>
      <c r="T23" s="1">
        <f t="shared" si="11"/>
        <v>431.26108874529433</v>
      </c>
      <c r="U23" s="1">
        <f t="shared" si="11"/>
        <v>452.65877341125184</v>
      </c>
      <c r="V23" s="1">
        <f t="shared" si="11"/>
        <v>475.1181372340186</v>
      </c>
      <c r="W23" s="1">
        <f t="shared" si="11"/>
        <v>498.69185706389862</v>
      </c>
      <c r="X23" s="1">
        <f t="shared" si="11"/>
        <v>523.43522339444269</v>
      </c>
      <c r="Y23" s="1">
        <f t="shared" si="11"/>
        <v>549.40627004239172</v>
      </c>
      <c r="Z23" s="1">
        <f t="shared" si="11"/>
        <v>576.66591026189246</v>
      </c>
      <c r="AA23" s="1">
        <f t="shared" si="11"/>
        <v>605.27807961223016</v>
      </c>
      <c r="AB23" s="1">
        <f t="shared" si="11"/>
        <v>635.30988591416167</v>
      </c>
      <c r="AC23" s="1">
        <f t="shared" si="11"/>
        <v>666.83176664656742</v>
      </c>
      <c r="AD23" s="1">
        <f t="shared" si="11"/>
        <v>699.91765415257828</v>
      </c>
      <c r="AE23" s="1">
        <f t="shared" si="11"/>
        <v>734.64514904266071</v>
      </c>
    </row>
    <row r="24" spans="1:31" x14ac:dyDescent="0.25">
      <c r="A24" t="s">
        <v>50</v>
      </c>
      <c r="B24" s="1">
        <f>B19-B23</f>
        <v>2766.464601681731</v>
      </c>
      <c r="C24" s="1">
        <f t="shared" ref="C24:AE24" si="12">C19-C23</f>
        <v>2782.8873237330477</v>
      </c>
      <c r="D24" s="1">
        <f t="shared" si="12"/>
        <v>2799.3221074776147</v>
      </c>
      <c r="E24" s="1">
        <f t="shared" si="12"/>
        <v>2815.7652179017632</v>
      </c>
      <c r="F24" s="1">
        <f t="shared" si="12"/>
        <v>2832.2127826213746</v>
      </c>
      <c r="G24" s="1">
        <f t="shared" si="12"/>
        <v>2848.66078789022</v>
      </c>
      <c r="H24" s="1">
        <f t="shared" si="12"/>
        <v>2865.1050744996346</v>
      </c>
      <c r="I24" s="1">
        <f t="shared" si="12"/>
        <v>2881.5413335666321</v>
      </c>
      <c r="J24" s="1">
        <f t="shared" si="12"/>
        <v>2897.9651022074827</v>
      </c>
      <c r="K24" s="1">
        <f t="shared" si="12"/>
        <v>2914.3717590937167</v>
      </c>
      <c r="L24" s="1">
        <f t="shared" si="12"/>
        <v>2930.7565198874045</v>
      </c>
      <c r="M24" s="1">
        <f t="shared" si="12"/>
        <v>2947.1144325525224</v>
      </c>
      <c r="N24" s="1">
        <f t="shared" si="12"/>
        <v>2963.4403725390957</v>
      </c>
      <c r="O24" s="1">
        <f t="shared" si="12"/>
        <v>2979.729037836722</v>
      </c>
      <c r="P24" s="1">
        <f t="shared" si="12"/>
        <v>2995.9749438940357</v>
      </c>
      <c r="Q24" s="1">
        <f t="shared" si="12"/>
        <v>3017.4882980499297</v>
      </c>
      <c r="R24" s="1">
        <f t="shared" si="12"/>
        <v>3167.2056381251496</v>
      </c>
      <c r="S24" s="1">
        <f t="shared" si="12"/>
        <v>3324.3514351503718</v>
      </c>
      <c r="T24" s="1">
        <f t="shared" si="12"/>
        <v>3489.294263484654</v>
      </c>
      <c r="U24" s="1">
        <f t="shared" si="12"/>
        <v>3662.420984872856</v>
      </c>
      <c r="V24" s="1">
        <f t="shared" si="12"/>
        <v>3844.137655802514</v>
      </c>
      <c r="W24" s="1">
        <f t="shared" si="12"/>
        <v>4034.8704798806343</v>
      </c>
      <c r="X24" s="1">
        <f t="shared" si="12"/>
        <v>4235.0668074641271</v>
      </c>
      <c r="Y24" s="1">
        <f t="shared" si="12"/>
        <v>4445.1961848884421</v>
      </c>
      <c r="Z24" s="1">
        <f t="shared" si="12"/>
        <v>4665.7514557553122</v>
      </c>
      <c r="AA24" s="1">
        <f t="shared" si="12"/>
        <v>4897.2499168625891</v>
      </c>
      <c r="AB24" s="1">
        <f t="shared" si="12"/>
        <v>5140.2345314873082</v>
      </c>
      <c r="AC24" s="1">
        <f t="shared" si="12"/>
        <v>5395.2752028676823</v>
      </c>
      <c r="AD24" s="1">
        <f t="shared" si="12"/>
        <v>5662.9701108708605</v>
      </c>
      <c r="AE24" s="1">
        <f t="shared" si="12"/>
        <v>5943.9471149815272</v>
      </c>
    </row>
    <row r="26" spans="1:31" x14ac:dyDescent="0.25">
      <c r="A26" t="s">
        <v>51</v>
      </c>
      <c r="B26" s="49">
        <f>B24-Investissement!B9</f>
        <v>-2155.3846760687479</v>
      </c>
      <c r="C26" s="49">
        <f>C24-Investissement!C9</f>
        <v>-2143.9619540174313</v>
      </c>
      <c r="D26" s="49">
        <f>D24-Investissement!D9</f>
        <v>-2127.5271702728642</v>
      </c>
      <c r="E26" s="49">
        <f>E24-Investissement!E9</f>
        <v>-2111.0840598487157</v>
      </c>
      <c r="F26" s="49">
        <f>F24-Investissement!F9</f>
        <v>-2094.6364951291043</v>
      </c>
      <c r="G26" s="49">
        <f>G24-Investissement!G9</f>
        <v>-2078.1884898602589</v>
      </c>
      <c r="H26" s="49">
        <f>H24-Investissement!H9</f>
        <v>-2061.7442032508443</v>
      </c>
      <c r="I26" s="49">
        <f>I24-Investissement!I9</f>
        <v>-2045.3079441838468</v>
      </c>
      <c r="J26" s="49">
        <f>J24-Investissement!J9</f>
        <v>-2028.8841755429962</v>
      </c>
      <c r="K26" s="49">
        <f>K24-Investissement!K9</f>
        <v>-2012.4775186567622</v>
      </c>
      <c r="L26" s="49">
        <f>L24-Investissement!L9</f>
        <v>-1996.0927578630744</v>
      </c>
      <c r="M26" s="49">
        <f>M24-Investissement!M9</f>
        <v>-1979.7348451979565</v>
      </c>
      <c r="N26" s="49">
        <f>N24-Investissement!N9</f>
        <v>-1963.4089052113832</v>
      </c>
      <c r="O26" s="49">
        <f>O24-Investissement!O9</f>
        <v>-1947.1202399137569</v>
      </c>
      <c r="P26" s="49">
        <f>P24-Investissement!P9</f>
        <v>-1930.8743338564432</v>
      </c>
      <c r="Q26" s="49">
        <f>Q24-Investissement!Q9</f>
        <v>3017.4882980499297</v>
      </c>
      <c r="R26" s="49">
        <f>R24-Investissement!R9</f>
        <v>3167.2056381251496</v>
      </c>
      <c r="S26" s="49">
        <f>S24-Investissement!S9</f>
        <v>3324.3514351503718</v>
      </c>
      <c r="T26" s="49">
        <f>T24-Investissement!T9</f>
        <v>3489.294263484654</v>
      </c>
      <c r="U26" s="49">
        <f>U24-Investissement!U9</f>
        <v>3662.420984872856</v>
      </c>
      <c r="V26" s="49">
        <f>V24-Investissement!V9</f>
        <v>3844.137655802514</v>
      </c>
      <c r="W26" s="49">
        <f>W24-Investissement!W9</f>
        <v>4034.8704798806343</v>
      </c>
      <c r="X26" s="49">
        <f>X24-Investissement!X9</f>
        <v>4235.0668074641271</v>
      </c>
      <c r="Y26" s="49">
        <f>Y24-Investissement!Y9</f>
        <v>4445.1961848884421</v>
      </c>
      <c r="Z26" s="49">
        <f>Z24-Investissement!Z9</f>
        <v>4665.7514557553122</v>
      </c>
      <c r="AA26" s="49">
        <f>AA24-Investissement!AA9</f>
        <v>4897.2499168625891</v>
      </c>
      <c r="AB26" s="49">
        <f>AB24-Investissement!AB9</f>
        <v>5140.2345314873082</v>
      </c>
      <c r="AC26" s="49">
        <f>AC24-Investissement!AC9</f>
        <v>5395.2752028676823</v>
      </c>
      <c r="AD26" s="49">
        <f>AD24-Investissement!AD9</f>
        <v>5662.9701108708605</v>
      </c>
      <c r="AE26" s="49">
        <f>AE24-Investissement!AE9</f>
        <v>5943.9471149815272</v>
      </c>
    </row>
    <row r="27" spans="1:31" x14ac:dyDescent="0.25">
      <c r="A27" t="s">
        <v>53</v>
      </c>
      <c r="B27" s="49">
        <f>B26</f>
        <v>-2155.3846760687479</v>
      </c>
      <c r="C27" s="6">
        <f>IF(C26&lt;0,B27+C26,B27)</f>
        <v>-4299.3466300861792</v>
      </c>
      <c r="D27" s="6">
        <f t="shared" ref="D27:AE27" si="13">IF(D26&lt;0,C27+D26,C27)</f>
        <v>-6426.8738003590433</v>
      </c>
      <c r="E27" s="6">
        <f t="shared" si="13"/>
        <v>-8537.9578602077599</v>
      </c>
      <c r="F27" s="6">
        <f t="shared" si="13"/>
        <v>-10632.594355336863</v>
      </c>
      <c r="G27" s="6">
        <f t="shared" si="13"/>
        <v>-12710.782845197122</v>
      </c>
      <c r="H27" s="6">
        <f t="shared" si="13"/>
        <v>-14772.527048447966</v>
      </c>
      <c r="I27" s="6">
        <f t="shared" si="13"/>
        <v>-16817.834992631811</v>
      </c>
      <c r="J27" s="6">
        <f t="shared" si="13"/>
        <v>-18846.719168174808</v>
      </c>
      <c r="K27" s="6">
        <f t="shared" si="13"/>
        <v>-20859.196686831572</v>
      </c>
      <c r="L27" s="6">
        <f t="shared" si="13"/>
        <v>-22855.289444694645</v>
      </c>
      <c r="M27" s="6">
        <f t="shared" si="13"/>
        <v>-24835.024289892601</v>
      </c>
      <c r="N27" s="6">
        <f t="shared" si="13"/>
        <v>-26798.433195103986</v>
      </c>
      <c r="O27" s="6">
        <f t="shared" si="13"/>
        <v>-28745.553435017744</v>
      </c>
      <c r="P27" s="6">
        <f t="shared" si="13"/>
        <v>-30676.427768874186</v>
      </c>
      <c r="Q27" s="6">
        <f t="shared" si="13"/>
        <v>-30676.427768874186</v>
      </c>
      <c r="R27" s="6">
        <f t="shared" si="13"/>
        <v>-30676.427768874186</v>
      </c>
      <c r="S27" s="6">
        <f t="shared" si="13"/>
        <v>-30676.427768874186</v>
      </c>
      <c r="T27" s="6">
        <f t="shared" si="13"/>
        <v>-30676.427768874186</v>
      </c>
      <c r="U27" s="6">
        <f t="shared" si="13"/>
        <v>-30676.427768874186</v>
      </c>
      <c r="V27" s="6">
        <f t="shared" si="13"/>
        <v>-30676.427768874186</v>
      </c>
      <c r="W27" s="6">
        <f t="shared" si="13"/>
        <v>-30676.427768874186</v>
      </c>
      <c r="X27" s="6">
        <f t="shared" si="13"/>
        <v>-30676.427768874186</v>
      </c>
      <c r="Y27" s="6">
        <f t="shared" si="13"/>
        <v>-30676.427768874186</v>
      </c>
      <c r="Z27" s="6">
        <f t="shared" si="13"/>
        <v>-30676.427768874186</v>
      </c>
      <c r="AA27" s="6">
        <f t="shared" si="13"/>
        <v>-30676.427768874186</v>
      </c>
      <c r="AB27" s="6">
        <f t="shared" si="13"/>
        <v>-30676.427768874186</v>
      </c>
      <c r="AC27" s="6">
        <f t="shared" si="13"/>
        <v>-30676.427768874186</v>
      </c>
      <c r="AD27" s="6">
        <f t="shared" si="13"/>
        <v>-30676.427768874186</v>
      </c>
      <c r="AE27" s="6">
        <f t="shared" si="13"/>
        <v>-30676.427768874186</v>
      </c>
    </row>
    <row r="28" spans="1:31" x14ac:dyDescent="0.25">
      <c r="A28" t="s">
        <v>53</v>
      </c>
      <c r="B28" s="49">
        <f>B26</f>
        <v>-2155.3846760687479</v>
      </c>
      <c r="C28" s="6">
        <f>B28+C26</f>
        <v>-4299.3466300861792</v>
      </c>
      <c r="D28" s="6">
        <f t="shared" ref="D28:AE28" si="14">C28+D26</f>
        <v>-6426.8738003590433</v>
      </c>
      <c r="E28" s="6">
        <f t="shared" si="14"/>
        <v>-8537.9578602077599</v>
      </c>
      <c r="F28" s="6">
        <f t="shared" si="14"/>
        <v>-10632.594355336863</v>
      </c>
      <c r="G28" s="6">
        <f t="shared" si="14"/>
        <v>-12710.782845197122</v>
      </c>
      <c r="H28" s="6">
        <f t="shared" si="14"/>
        <v>-14772.527048447966</v>
      </c>
      <c r="I28" s="6">
        <f t="shared" si="14"/>
        <v>-16817.834992631811</v>
      </c>
      <c r="J28" s="6">
        <f t="shared" si="14"/>
        <v>-18846.719168174808</v>
      </c>
      <c r="K28" s="6">
        <f t="shared" si="14"/>
        <v>-20859.196686831572</v>
      </c>
      <c r="L28" s="6">
        <f t="shared" si="14"/>
        <v>-22855.289444694645</v>
      </c>
      <c r="M28" s="6">
        <f t="shared" si="14"/>
        <v>-24835.024289892601</v>
      </c>
      <c r="N28" s="6">
        <f t="shared" si="14"/>
        <v>-26798.433195103986</v>
      </c>
      <c r="O28" s="6">
        <f t="shared" si="14"/>
        <v>-28745.553435017744</v>
      </c>
      <c r="P28" s="6">
        <f t="shared" si="14"/>
        <v>-30676.427768874186</v>
      </c>
      <c r="Q28" s="6">
        <f t="shared" si="14"/>
        <v>-27658.939470824254</v>
      </c>
      <c r="R28" s="6">
        <f t="shared" si="14"/>
        <v>-24491.733832699105</v>
      </c>
      <c r="S28" s="6">
        <f t="shared" si="14"/>
        <v>-21167.382397548732</v>
      </c>
      <c r="T28" s="6">
        <f t="shared" si="14"/>
        <v>-17678.088134064077</v>
      </c>
      <c r="U28" s="6">
        <f t="shared" si="14"/>
        <v>-14015.66714919122</v>
      </c>
      <c r="V28" s="6">
        <f t="shared" si="14"/>
        <v>-10171.529493388705</v>
      </c>
      <c r="W28" s="6">
        <f t="shared" si="14"/>
        <v>-6136.6590135080714</v>
      </c>
      <c r="X28" s="6">
        <f t="shared" si="14"/>
        <v>-1901.5922060439443</v>
      </c>
      <c r="Y28" s="6">
        <f t="shared" si="14"/>
        <v>2543.6039788444978</v>
      </c>
      <c r="Z28" s="6">
        <f t="shared" si="14"/>
        <v>7209.35543459981</v>
      </c>
      <c r="AA28" s="6">
        <f t="shared" si="14"/>
        <v>12106.6053514624</v>
      </c>
      <c r="AB28" s="6">
        <f t="shared" si="14"/>
        <v>17246.839882949709</v>
      </c>
      <c r="AC28" s="6">
        <f t="shared" si="14"/>
        <v>22642.115085817393</v>
      </c>
      <c r="AD28" s="6">
        <f t="shared" si="14"/>
        <v>28305.085196688255</v>
      </c>
      <c r="AE28" s="6">
        <f t="shared" si="14"/>
        <v>34249.032311669784</v>
      </c>
    </row>
    <row r="29" spans="1:31" x14ac:dyDescent="0.25">
      <c r="B29" s="49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x14ac:dyDescent="0.25">
      <c r="A30" t="s">
        <v>81</v>
      </c>
      <c r="B30" s="45">
        <f>IF(B26&lt;0,0,B26/(B11*(1+$B$2)))</f>
        <v>0</v>
      </c>
      <c r="C30" s="45">
        <f t="shared" ref="C30:AE30" si="15">IF(C26&lt;0,0,C26/(C11*(1+$B$2)))</f>
        <v>0</v>
      </c>
      <c r="D30" s="45">
        <f t="shared" si="15"/>
        <v>0</v>
      </c>
      <c r="E30" s="45">
        <f t="shared" si="15"/>
        <v>0</v>
      </c>
      <c r="F30" s="45">
        <f t="shared" si="15"/>
        <v>0</v>
      </c>
      <c r="G30" s="45">
        <f t="shared" si="15"/>
        <v>0</v>
      </c>
      <c r="H30" s="45">
        <f t="shared" si="15"/>
        <v>0</v>
      </c>
      <c r="I30" s="45">
        <f t="shared" si="15"/>
        <v>0</v>
      </c>
      <c r="J30" s="45">
        <f t="shared" si="15"/>
        <v>0</v>
      </c>
      <c r="K30" s="45">
        <f t="shared" si="15"/>
        <v>0</v>
      </c>
      <c r="L30" s="45">
        <f t="shared" si="15"/>
        <v>0</v>
      </c>
      <c r="M30" s="45">
        <f t="shared" si="15"/>
        <v>0</v>
      </c>
      <c r="N30" s="45">
        <f t="shared" si="15"/>
        <v>0</v>
      </c>
      <c r="O30" s="45">
        <f t="shared" si="15"/>
        <v>0</v>
      </c>
      <c r="P30" s="45">
        <f t="shared" si="15"/>
        <v>0</v>
      </c>
      <c r="Q30" s="45">
        <f t="shared" si="15"/>
        <v>2.3019958355170886</v>
      </c>
      <c r="R30" s="45">
        <f t="shared" si="15"/>
        <v>2.393125756401143</v>
      </c>
      <c r="S30" s="45">
        <f t="shared" si="15"/>
        <v>2.4878632695980092</v>
      </c>
      <c r="T30" s="45">
        <f t="shared" si="15"/>
        <v>2.5863511901367042</v>
      </c>
      <c r="U30" s="45">
        <f t="shared" si="15"/>
        <v>2.6887379867151608</v>
      </c>
      <c r="V30" s="45">
        <f t="shared" si="15"/>
        <v>2.7951780055140074</v>
      </c>
      <c r="W30" s="45">
        <f t="shared" si="15"/>
        <v>2.905831702870556</v>
      </c>
      <c r="X30" s="45">
        <f t="shared" si="15"/>
        <v>3.0208658871637226</v>
      </c>
      <c r="Y30" s="45">
        <f t="shared" si="15"/>
        <v>3.1404539702745393</v>
      </c>
      <c r="Z30" s="45">
        <f t="shared" si="15"/>
        <v>3.2647762290013236</v>
      </c>
      <c r="AA30" s="45">
        <f t="shared" si="15"/>
        <v>3.3940200768235789</v>
      </c>
      <c r="AB30" s="45">
        <f t="shared" si="15"/>
        <v>3.5283803464243064</v>
      </c>
      <c r="AC30" s="45">
        <f t="shared" si="15"/>
        <v>3.6680595833966341</v>
      </c>
      <c r="AD30" s="45">
        <f t="shared" si="15"/>
        <v>3.8132683515775074</v>
      </c>
      <c r="AE30" s="45">
        <f t="shared" si="15"/>
        <v>3.9642255504687349</v>
      </c>
    </row>
    <row r="31" spans="1:31" x14ac:dyDescent="0.25">
      <c r="A31" t="s">
        <v>82</v>
      </c>
      <c r="B31" s="71">
        <f>B30+B12</f>
        <v>58.149779735682763</v>
      </c>
      <c r="C31" s="71">
        <f t="shared" ref="C31:AE31" si="16">C30+C12</f>
        <v>58.149779735682763</v>
      </c>
      <c r="D31" s="71">
        <f t="shared" si="16"/>
        <v>58.149779735682763</v>
      </c>
      <c r="E31" s="71">
        <f t="shared" si="16"/>
        <v>58.149779735682763</v>
      </c>
      <c r="F31" s="71">
        <f t="shared" si="16"/>
        <v>58.149779735682763</v>
      </c>
      <c r="G31" s="71">
        <f t="shared" si="16"/>
        <v>58.149779735682763</v>
      </c>
      <c r="H31" s="71">
        <f t="shared" si="16"/>
        <v>58.149779735682763</v>
      </c>
      <c r="I31" s="71">
        <f t="shared" si="16"/>
        <v>58.149779735682763</v>
      </c>
      <c r="J31" s="71">
        <f t="shared" si="16"/>
        <v>58.149779735682763</v>
      </c>
      <c r="K31" s="71">
        <f t="shared" si="16"/>
        <v>58.149779735682763</v>
      </c>
      <c r="L31" s="71">
        <f t="shared" si="16"/>
        <v>58.149779735682763</v>
      </c>
      <c r="M31" s="71">
        <f t="shared" si="16"/>
        <v>58.149779735682763</v>
      </c>
      <c r="N31" s="71">
        <f t="shared" si="16"/>
        <v>58.149779735682763</v>
      </c>
      <c r="O31" s="71">
        <f t="shared" si="16"/>
        <v>58.149779735682763</v>
      </c>
      <c r="P31" s="71">
        <f t="shared" si="16"/>
        <v>58.149779735682763</v>
      </c>
      <c r="Q31" s="71">
        <f t="shared" si="16"/>
        <v>60.451775571199853</v>
      </c>
      <c r="R31" s="71">
        <f t="shared" si="16"/>
        <v>62.844901327600994</v>
      </c>
      <c r="S31" s="71">
        <f t="shared" si="16"/>
        <v>65.332764597199002</v>
      </c>
      <c r="T31" s="71">
        <f t="shared" si="16"/>
        <v>67.919115787335713</v>
      </c>
      <c r="U31" s="71">
        <f t="shared" si="16"/>
        <v>70.607853774050881</v>
      </c>
      <c r="V31" s="71">
        <f t="shared" si="16"/>
        <v>73.403031779564884</v>
      </c>
      <c r="W31" s="71">
        <f t="shared" si="16"/>
        <v>76.308863482435441</v>
      </c>
      <c r="X31" s="71">
        <f t="shared" si="16"/>
        <v>79.329729369599164</v>
      </c>
      <c r="Y31" s="71">
        <f t="shared" si="16"/>
        <v>82.470183339873699</v>
      </c>
      <c r="Z31" s="71">
        <f t="shared" si="16"/>
        <v>85.734959568875027</v>
      </c>
      <c r="AA31" s="71">
        <f t="shared" si="16"/>
        <v>89.128979645698607</v>
      </c>
      <c r="AB31" s="71">
        <f t="shared" si="16"/>
        <v>92.657359992122906</v>
      </c>
      <c r="AC31" s="71">
        <f t="shared" si="16"/>
        <v>96.325419575519547</v>
      </c>
      <c r="AD31" s="71">
        <f t="shared" si="16"/>
        <v>100.13868792709705</v>
      </c>
      <c r="AE31" s="71">
        <f t="shared" si="16"/>
        <v>104.10291347756579</v>
      </c>
    </row>
    <row r="32" spans="1:31" x14ac:dyDescent="0.25">
      <c r="B32" s="49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x14ac:dyDescent="0.25">
      <c r="B33"/>
    </row>
    <row r="34" spans="1:31" x14ac:dyDescent="0.25">
      <c r="A34" t="s">
        <v>55</v>
      </c>
      <c r="B34" s="1">
        <f>Investissement!Apport-B27</f>
        <v>8155.3846760687484</v>
      </c>
      <c r="C34" s="1">
        <f>Investissement!Apport-C27</f>
        <v>10299.34663008618</v>
      </c>
      <c r="D34" s="1">
        <f>Investissement!Apport-D27</f>
        <v>12426.873800359044</v>
      </c>
      <c r="E34" s="1">
        <f>Investissement!Apport-E27</f>
        <v>14537.95786020776</v>
      </c>
      <c r="F34" s="1">
        <f>Investissement!Apport-F27</f>
        <v>16632.594355336863</v>
      </c>
      <c r="G34" s="1">
        <f>Investissement!Apport-G27</f>
        <v>18710.782845197122</v>
      </c>
      <c r="H34" s="1">
        <f>Investissement!Apport-H27</f>
        <v>20772.527048447966</v>
      </c>
      <c r="I34" s="1">
        <f>Investissement!Apport-I27</f>
        <v>22817.834992631811</v>
      </c>
      <c r="J34" s="1">
        <f>Investissement!Apport-J27</f>
        <v>24846.719168174808</v>
      </c>
      <c r="K34" s="1">
        <f>Investissement!Apport-K27</f>
        <v>26859.196686831572</v>
      </c>
      <c r="L34" s="1">
        <f>Investissement!Apport-L27</f>
        <v>28855.289444694645</v>
      </c>
      <c r="M34" s="1">
        <f>Investissement!Apport-M27</f>
        <v>30835.024289892601</v>
      </c>
      <c r="N34" s="1">
        <f>Investissement!Apport-N27</f>
        <v>32798.433195103986</v>
      </c>
      <c r="O34" s="1">
        <f>Investissement!Apport-O27</f>
        <v>34745.553435017748</v>
      </c>
      <c r="P34" s="1">
        <f>Investissement!Apport-P27</f>
        <v>36676.427768874186</v>
      </c>
      <c r="Q34" s="1">
        <f>Investissement!Apport-Q27</f>
        <v>36676.427768874186</v>
      </c>
      <c r="R34" s="1">
        <f>Investissement!Apport-R27</f>
        <v>36676.427768874186</v>
      </c>
      <c r="S34" s="1">
        <f>Investissement!Apport-S27</f>
        <v>36676.427768874186</v>
      </c>
      <c r="T34" s="1">
        <f>Investissement!Apport-T27</f>
        <v>36676.427768874186</v>
      </c>
      <c r="U34" s="1">
        <f>Investissement!Apport-U27</f>
        <v>36676.427768874186</v>
      </c>
      <c r="V34" s="1">
        <f>Investissement!Apport-V27</f>
        <v>36676.427768874186</v>
      </c>
      <c r="W34" s="1">
        <f>Investissement!Apport-W27</f>
        <v>36676.427768874186</v>
      </c>
      <c r="X34" s="1">
        <f>Investissement!Apport-X27</f>
        <v>36676.427768874186</v>
      </c>
      <c r="Y34" s="1">
        <f>Investissement!Apport-Y27</f>
        <v>36676.427768874186</v>
      </c>
      <c r="Z34" s="1">
        <f>Investissement!Apport-Z27</f>
        <v>36676.427768874186</v>
      </c>
      <c r="AA34" s="1">
        <f>Investissement!Apport-AA27</f>
        <v>36676.427768874186</v>
      </c>
      <c r="AB34" s="1">
        <f>Investissement!Apport-AB27</f>
        <v>36676.427768874186</v>
      </c>
      <c r="AC34" s="1">
        <f>Investissement!Apport-AC27</f>
        <v>36676.427768874186</v>
      </c>
      <c r="AD34" s="1">
        <f>Investissement!Apport-AD27</f>
        <v>36676.427768874186</v>
      </c>
      <c r="AE34" s="1">
        <f>Investissement!Apport-AE27</f>
        <v>36676.427768874186</v>
      </c>
    </row>
    <row r="36" spans="1:31" x14ac:dyDescent="0.25">
      <c r="A36" t="s">
        <v>52</v>
      </c>
      <c r="B36" s="1">
        <f>B11*B31</f>
        <v>58949.624866023587</v>
      </c>
      <c r="C36" s="1">
        <f t="shared" ref="C36:AE36" si="17">C11*C31</f>
        <v>59518.32844962833</v>
      </c>
      <c r="D36" s="1">
        <f t="shared" si="17"/>
        <v>60092.518476390942</v>
      </c>
      <c r="E36" s="1">
        <f t="shared" si="17"/>
        <v>60672.247875569105</v>
      </c>
      <c r="F36" s="1">
        <f t="shared" si="17"/>
        <v>61257.57008704391</v>
      </c>
      <c r="G36" s="1">
        <f t="shared" si="17"/>
        <v>61848.53906624602</v>
      </c>
      <c r="H36" s="1">
        <f t="shared" si="17"/>
        <v>62445.209289129234</v>
      </c>
      <c r="I36" s="1">
        <f t="shared" si="17"/>
        <v>63047.635757192205</v>
      </c>
      <c r="J36" s="1">
        <f t="shared" si="17"/>
        <v>63655.874002548509</v>
      </c>
      <c r="K36" s="1">
        <f t="shared" si="17"/>
        <v>64269.98009304556</v>
      </c>
      <c r="L36" s="1">
        <f t="shared" si="17"/>
        <v>64890.010637433079</v>
      </c>
      <c r="M36" s="1">
        <f t="shared" si="17"/>
        <v>65516.022790581286</v>
      </c>
      <c r="N36" s="1">
        <f t="shared" si="17"/>
        <v>66148.074258749461</v>
      </c>
      <c r="O36" s="1">
        <f t="shared" si="17"/>
        <v>66786.223304905405</v>
      </c>
      <c r="P36" s="1">
        <f t="shared" si="17"/>
        <v>67430.5287540961</v>
      </c>
      <c r="Q36" s="1">
        <f t="shared" si="17"/>
        <v>70776.198532319671</v>
      </c>
      <c r="R36" s="1">
        <f t="shared" si="17"/>
        <v>74287.86888137873</v>
      </c>
      <c r="S36" s="1">
        <f t="shared" si="17"/>
        <v>77973.776175854247</v>
      </c>
      <c r="T36" s="1">
        <f t="shared" si="17"/>
        <v>81842.56545076675</v>
      </c>
      <c r="U36" s="1">
        <f t="shared" si="17"/>
        <v>85903.310677894784</v>
      </c>
      <c r="V36" s="1">
        <f t="shared" si="17"/>
        <v>90165.53604813444</v>
      </c>
      <c r="W36" s="1">
        <f t="shared" si="17"/>
        <v>94639.238309815832</v>
      </c>
      <c r="X36" s="1">
        <f t="shared" si="17"/>
        <v>99334.910215369673</v>
      </c>
      <c r="Y36" s="1">
        <f t="shared" si="17"/>
        <v>104263.56513133645</v>
      </c>
      <c r="Z36" s="1">
        <f t="shared" si="17"/>
        <v>109436.76286943913</v>
      </c>
      <c r="AA36" s="1">
        <f t="shared" si="17"/>
        <v>114866.63679930448</v>
      </c>
      <c r="AB36" s="1">
        <f t="shared" si="17"/>
        <v>120565.92230642386</v>
      </c>
      <c r="AC36" s="1">
        <f t="shared" si="17"/>
        <v>126547.98666209972</v>
      </c>
      <c r="AD36" s="1">
        <f t="shared" si="17"/>
        <v>132826.8603754355</v>
      </c>
      <c r="AE36" s="1">
        <f t="shared" si="17"/>
        <v>139417.27010090312</v>
      </c>
    </row>
    <row r="37" spans="1:31" x14ac:dyDescent="0.25">
      <c r="A37" t="s">
        <v>62</v>
      </c>
      <c r="B37" s="1">
        <f>IF(B36-B13&lt;0,0,B36-B13)</f>
        <v>0</v>
      </c>
      <c r="C37" s="1">
        <f t="shared" ref="C37:AE37" si="18">IF(C36-C13&lt;0,0,C36-C13)</f>
        <v>0</v>
      </c>
      <c r="D37" s="1">
        <f t="shared" si="18"/>
        <v>0</v>
      </c>
      <c r="E37" s="1">
        <f t="shared" si="18"/>
        <v>0</v>
      </c>
      <c r="F37" s="1">
        <f t="shared" si="18"/>
        <v>0</v>
      </c>
      <c r="G37" s="1">
        <f t="shared" si="18"/>
        <v>0</v>
      </c>
      <c r="H37" s="1">
        <f t="shared" si="18"/>
        <v>0</v>
      </c>
      <c r="I37" s="1">
        <f t="shared" si="18"/>
        <v>0</v>
      </c>
      <c r="J37" s="1">
        <f t="shared" si="18"/>
        <v>0</v>
      </c>
      <c r="K37" s="1">
        <f t="shared" si="18"/>
        <v>0</v>
      </c>
      <c r="L37" s="1">
        <f t="shared" si="18"/>
        <v>0</v>
      </c>
      <c r="M37" s="1">
        <f t="shared" si="18"/>
        <v>0</v>
      </c>
      <c r="N37" s="1">
        <f t="shared" si="18"/>
        <v>0</v>
      </c>
      <c r="O37" s="1">
        <f t="shared" si="18"/>
        <v>0</v>
      </c>
      <c r="P37" s="1">
        <f t="shared" si="18"/>
        <v>0</v>
      </c>
      <c r="Q37" s="1">
        <f t="shared" si="18"/>
        <v>0</v>
      </c>
      <c r="R37" s="1">
        <f t="shared" si="18"/>
        <v>0</v>
      </c>
      <c r="S37" s="1">
        <f t="shared" si="18"/>
        <v>0</v>
      </c>
      <c r="T37" s="1">
        <f t="shared" si="18"/>
        <v>0</v>
      </c>
      <c r="U37" s="1">
        <f t="shared" si="18"/>
        <v>0</v>
      </c>
      <c r="V37" s="1">
        <f t="shared" si="18"/>
        <v>0</v>
      </c>
      <c r="W37" s="1">
        <f t="shared" si="18"/>
        <v>0</v>
      </c>
      <c r="X37" s="1">
        <f t="shared" si="18"/>
        <v>0</v>
      </c>
      <c r="Y37" s="1">
        <f t="shared" si="18"/>
        <v>0</v>
      </c>
      <c r="Z37" s="1">
        <f t="shared" si="18"/>
        <v>0</v>
      </c>
      <c r="AA37" s="1">
        <f t="shared" si="18"/>
        <v>0</v>
      </c>
      <c r="AB37" s="1">
        <f t="shared" si="18"/>
        <v>0</v>
      </c>
      <c r="AC37" s="1">
        <f t="shared" si="18"/>
        <v>0</v>
      </c>
      <c r="AD37" s="1">
        <f t="shared" si="18"/>
        <v>0</v>
      </c>
      <c r="AE37" s="1">
        <f t="shared" si="18"/>
        <v>0</v>
      </c>
    </row>
    <row r="38" spans="1:31" x14ac:dyDescent="0.25">
      <c r="A38" t="s">
        <v>63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f>-6%*Valeur_initiale</f>
        <v>-3960</v>
      </c>
      <c r="H38" s="1">
        <f t="shared" ref="H38:V38" si="19">-6%*Valeur_initiale+G38</f>
        <v>-7920</v>
      </c>
      <c r="I38" s="1">
        <f t="shared" si="19"/>
        <v>-11880</v>
      </c>
      <c r="J38" s="1">
        <f t="shared" si="19"/>
        <v>-15840</v>
      </c>
      <c r="K38" s="1">
        <f t="shared" si="19"/>
        <v>-19800</v>
      </c>
      <c r="L38" s="1">
        <f t="shared" si="19"/>
        <v>-23760</v>
      </c>
      <c r="M38" s="1">
        <f t="shared" si="19"/>
        <v>-27720</v>
      </c>
      <c r="N38" s="1">
        <f t="shared" si="19"/>
        <v>-31680</v>
      </c>
      <c r="O38" s="1">
        <f t="shared" si="19"/>
        <v>-35640</v>
      </c>
      <c r="P38" s="1">
        <f t="shared" si="19"/>
        <v>-39600</v>
      </c>
      <c r="Q38" s="1">
        <f t="shared" si="19"/>
        <v>-43560</v>
      </c>
      <c r="R38" s="1">
        <f t="shared" si="19"/>
        <v>-47520</v>
      </c>
      <c r="S38" s="1">
        <f t="shared" si="19"/>
        <v>-51480</v>
      </c>
      <c r="T38" s="1">
        <f t="shared" si="19"/>
        <v>-55440</v>
      </c>
      <c r="U38" s="1">
        <f t="shared" si="19"/>
        <v>-59400</v>
      </c>
      <c r="V38" s="1">
        <f t="shared" si="19"/>
        <v>-63360</v>
      </c>
      <c r="W38" s="1">
        <f>-4%*Valeur_initiale+V38</f>
        <v>-66000</v>
      </c>
      <c r="X38" s="1">
        <f>W38</f>
        <v>-66000</v>
      </c>
      <c r="Y38" s="1">
        <f t="shared" ref="Y38:AE38" si="20">X38</f>
        <v>-66000</v>
      </c>
      <c r="Z38" s="1">
        <f t="shared" si="20"/>
        <v>-66000</v>
      </c>
      <c r="AA38" s="1">
        <f t="shared" si="20"/>
        <v>-66000</v>
      </c>
      <c r="AB38" s="1">
        <f t="shared" si="20"/>
        <v>-66000</v>
      </c>
      <c r="AC38" s="1">
        <f t="shared" si="20"/>
        <v>-66000</v>
      </c>
      <c r="AD38" s="1">
        <f t="shared" si="20"/>
        <v>-66000</v>
      </c>
      <c r="AE38" s="1">
        <f t="shared" si="20"/>
        <v>-66000</v>
      </c>
    </row>
    <row r="39" spans="1:31" x14ac:dyDescent="0.25">
      <c r="A39" t="s">
        <v>64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f>-1.6%*Valeur_initiale</f>
        <v>-1056</v>
      </c>
      <c r="H39" s="1">
        <f t="shared" ref="H39:V39" si="21">-1.6%*Valeur_initiale+G39</f>
        <v>-2112</v>
      </c>
      <c r="I39" s="1">
        <f t="shared" si="21"/>
        <v>-3168</v>
      </c>
      <c r="J39" s="1">
        <f t="shared" si="21"/>
        <v>-4224</v>
      </c>
      <c r="K39" s="1">
        <f t="shared" si="21"/>
        <v>-5280</v>
      </c>
      <c r="L39" s="1">
        <f t="shared" si="21"/>
        <v>-6336</v>
      </c>
      <c r="M39" s="1">
        <f t="shared" si="21"/>
        <v>-7392</v>
      </c>
      <c r="N39" s="1">
        <f t="shared" si="21"/>
        <v>-8448</v>
      </c>
      <c r="O39" s="1">
        <f t="shared" si="21"/>
        <v>-9504</v>
      </c>
      <c r="P39" s="1">
        <f t="shared" si="21"/>
        <v>-10560</v>
      </c>
      <c r="Q39" s="1">
        <f t="shared" si="21"/>
        <v>-11616</v>
      </c>
      <c r="R39" s="1">
        <f t="shared" si="21"/>
        <v>-12672</v>
      </c>
      <c r="S39" s="1">
        <f t="shared" si="21"/>
        <v>-13728</v>
      </c>
      <c r="T39" s="1">
        <f t="shared" si="21"/>
        <v>-14784</v>
      </c>
      <c r="U39" s="1">
        <f t="shared" si="21"/>
        <v>-15840</v>
      </c>
      <c r="V39" s="1">
        <f t="shared" si="21"/>
        <v>-16896</v>
      </c>
      <c r="W39" s="1">
        <f t="shared" ref="W39:AE39" si="22">-9%*Valeur_initiale+V39</f>
        <v>-22836</v>
      </c>
      <c r="X39" s="1">
        <f t="shared" si="22"/>
        <v>-28776</v>
      </c>
      <c r="Y39" s="1">
        <f t="shared" si="22"/>
        <v>-34716</v>
      </c>
      <c r="Z39" s="1">
        <f t="shared" si="22"/>
        <v>-40656</v>
      </c>
      <c r="AA39" s="1">
        <f t="shared" si="22"/>
        <v>-46596</v>
      </c>
      <c r="AB39" s="1">
        <f t="shared" si="22"/>
        <v>-52536</v>
      </c>
      <c r="AC39" s="1">
        <f t="shared" si="22"/>
        <v>-58476</v>
      </c>
      <c r="AD39" s="1">
        <f t="shared" si="22"/>
        <v>-64416</v>
      </c>
      <c r="AE39" s="1">
        <f t="shared" si="22"/>
        <v>-70356</v>
      </c>
    </row>
    <row r="40" spans="1:31" x14ac:dyDescent="0.25">
      <c r="A40" t="s">
        <v>65</v>
      </c>
      <c r="B40" s="1">
        <f>IF(B37+B38&lt;0,0,(B37+B38)*19%)</f>
        <v>0</v>
      </c>
      <c r="C40" s="1">
        <f t="shared" ref="C40:AE40" si="23">IF(C37+C38&lt;0,0,(C37+C38)*19%)</f>
        <v>0</v>
      </c>
      <c r="D40" s="1">
        <f t="shared" si="23"/>
        <v>0</v>
      </c>
      <c r="E40" s="1">
        <f t="shared" si="23"/>
        <v>0</v>
      </c>
      <c r="F40" s="1">
        <f t="shared" si="23"/>
        <v>0</v>
      </c>
      <c r="G40" s="1">
        <f t="shared" si="23"/>
        <v>0</v>
      </c>
      <c r="H40" s="1">
        <f t="shared" si="23"/>
        <v>0</v>
      </c>
      <c r="I40" s="1">
        <f t="shared" si="23"/>
        <v>0</v>
      </c>
      <c r="J40" s="1">
        <f t="shared" si="23"/>
        <v>0</v>
      </c>
      <c r="K40" s="1">
        <f t="shared" si="23"/>
        <v>0</v>
      </c>
      <c r="L40" s="1">
        <f t="shared" si="23"/>
        <v>0</v>
      </c>
      <c r="M40" s="1">
        <f t="shared" si="23"/>
        <v>0</v>
      </c>
      <c r="N40" s="1">
        <f t="shared" si="23"/>
        <v>0</v>
      </c>
      <c r="O40" s="1">
        <f t="shared" si="23"/>
        <v>0</v>
      </c>
      <c r="P40" s="1">
        <f t="shared" si="23"/>
        <v>0</v>
      </c>
      <c r="Q40" s="1">
        <f t="shared" si="23"/>
        <v>0</v>
      </c>
      <c r="R40" s="1">
        <f t="shared" si="23"/>
        <v>0</v>
      </c>
      <c r="S40" s="1">
        <f t="shared" si="23"/>
        <v>0</v>
      </c>
      <c r="T40" s="1">
        <f t="shared" si="23"/>
        <v>0</v>
      </c>
      <c r="U40" s="1">
        <f t="shared" si="23"/>
        <v>0</v>
      </c>
      <c r="V40" s="1">
        <f t="shared" si="23"/>
        <v>0</v>
      </c>
      <c r="W40" s="1">
        <f t="shared" si="23"/>
        <v>0</v>
      </c>
      <c r="X40" s="1">
        <f t="shared" si="23"/>
        <v>0</v>
      </c>
      <c r="Y40" s="1">
        <f t="shared" si="23"/>
        <v>0</v>
      </c>
      <c r="Z40" s="1">
        <f t="shared" si="23"/>
        <v>0</v>
      </c>
      <c r="AA40" s="1">
        <f t="shared" si="23"/>
        <v>0</v>
      </c>
      <c r="AB40" s="1">
        <f t="shared" si="23"/>
        <v>0</v>
      </c>
      <c r="AC40" s="1">
        <f t="shared" si="23"/>
        <v>0</v>
      </c>
      <c r="AD40" s="1">
        <f t="shared" si="23"/>
        <v>0</v>
      </c>
      <c r="AE40" s="1">
        <f t="shared" si="23"/>
        <v>0</v>
      </c>
    </row>
    <row r="41" spans="1:31" x14ac:dyDescent="0.25">
      <c r="A41" t="s">
        <v>66</v>
      </c>
      <c r="B41" s="1">
        <f>IF(B37-B39&lt;0,0,(B37-B39)*17.2%)</f>
        <v>0</v>
      </c>
      <c r="C41" s="1">
        <f t="shared" ref="C41:AE41" si="24">IF(C37-C39&lt;0,0,(C37-C39)*17.2%)</f>
        <v>0</v>
      </c>
      <c r="D41" s="1">
        <f t="shared" si="24"/>
        <v>0</v>
      </c>
      <c r="E41" s="1">
        <f t="shared" si="24"/>
        <v>0</v>
      </c>
      <c r="F41" s="1">
        <f t="shared" si="24"/>
        <v>0</v>
      </c>
      <c r="G41" s="1">
        <f t="shared" si="24"/>
        <v>181.63199999999998</v>
      </c>
      <c r="H41" s="1">
        <f t="shared" si="24"/>
        <v>363.26399999999995</v>
      </c>
      <c r="I41" s="1">
        <f t="shared" si="24"/>
        <v>544.89599999999996</v>
      </c>
      <c r="J41" s="1">
        <f t="shared" si="24"/>
        <v>726.52799999999991</v>
      </c>
      <c r="K41" s="1">
        <f t="shared" si="24"/>
        <v>908.16</v>
      </c>
      <c r="L41" s="1">
        <f t="shared" si="24"/>
        <v>1089.7919999999999</v>
      </c>
      <c r="M41" s="1">
        <f t="shared" si="24"/>
        <v>1271.424</v>
      </c>
      <c r="N41" s="1">
        <f t="shared" si="24"/>
        <v>1453.0559999999998</v>
      </c>
      <c r="O41" s="1">
        <f t="shared" si="24"/>
        <v>1634.6879999999999</v>
      </c>
      <c r="P41" s="1">
        <f t="shared" si="24"/>
        <v>1816.32</v>
      </c>
      <c r="Q41" s="1">
        <f t="shared" si="24"/>
        <v>1997.9519999999998</v>
      </c>
      <c r="R41" s="1">
        <f t="shared" si="24"/>
        <v>2179.5839999999998</v>
      </c>
      <c r="S41" s="1">
        <f t="shared" si="24"/>
        <v>2361.2159999999999</v>
      </c>
      <c r="T41" s="1">
        <f t="shared" si="24"/>
        <v>2542.848</v>
      </c>
      <c r="U41" s="1">
        <f t="shared" si="24"/>
        <v>2724.4799999999996</v>
      </c>
      <c r="V41" s="1">
        <f t="shared" si="24"/>
        <v>2906.1119999999996</v>
      </c>
      <c r="W41" s="1">
        <f t="shared" si="24"/>
        <v>3927.7919999999995</v>
      </c>
      <c r="X41" s="1">
        <f t="shared" si="24"/>
        <v>4949.4719999999998</v>
      </c>
      <c r="Y41" s="1">
        <f t="shared" si="24"/>
        <v>5971.1519999999991</v>
      </c>
      <c r="Z41" s="1">
        <f t="shared" si="24"/>
        <v>6992.8319999999994</v>
      </c>
      <c r="AA41" s="1">
        <f t="shared" si="24"/>
        <v>8014.5119999999997</v>
      </c>
      <c r="AB41" s="1">
        <f t="shared" si="24"/>
        <v>9036.1919999999991</v>
      </c>
      <c r="AC41" s="1">
        <f t="shared" si="24"/>
        <v>10057.871999999999</v>
      </c>
      <c r="AD41" s="1">
        <f t="shared" si="24"/>
        <v>11079.552</v>
      </c>
      <c r="AE41" s="1">
        <f t="shared" si="24"/>
        <v>12101.231999999998</v>
      </c>
    </row>
    <row r="42" spans="1:31" x14ac:dyDescent="0.25">
      <c r="A42" t="s">
        <v>67</v>
      </c>
      <c r="B42" s="1">
        <f>B40+B41</f>
        <v>0</v>
      </c>
      <c r="C42" s="1">
        <f t="shared" ref="C42:AE42" si="25">C40+C41</f>
        <v>0</v>
      </c>
      <c r="D42" s="1">
        <f t="shared" si="25"/>
        <v>0</v>
      </c>
      <c r="E42" s="1">
        <f t="shared" si="25"/>
        <v>0</v>
      </c>
      <c r="F42" s="1">
        <f t="shared" si="25"/>
        <v>0</v>
      </c>
      <c r="G42" s="1">
        <f t="shared" si="25"/>
        <v>181.63199999999998</v>
      </c>
      <c r="H42" s="1">
        <f t="shared" si="25"/>
        <v>363.26399999999995</v>
      </c>
      <c r="I42" s="1">
        <f t="shared" si="25"/>
        <v>544.89599999999996</v>
      </c>
      <c r="J42" s="1">
        <f t="shared" si="25"/>
        <v>726.52799999999991</v>
      </c>
      <c r="K42" s="1">
        <f t="shared" si="25"/>
        <v>908.16</v>
      </c>
      <c r="L42" s="1">
        <f t="shared" si="25"/>
        <v>1089.7919999999999</v>
      </c>
      <c r="M42" s="1">
        <f t="shared" si="25"/>
        <v>1271.424</v>
      </c>
      <c r="N42" s="1">
        <f t="shared" si="25"/>
        <v>1453.0559999999998</v>
      </c>
      <c r="O42" s="1">
        <f t="shared" si="25"/>
        <v>1634.6879999999999</v>
      </c>
      <c r="P42" s="1">
        <f t="shared" si="25"/>
        <v>1816.32</v>
      </c>
      <c r="Q42" s="1">
        <f t="shared" si="25"/>
        <v>1997.9519999999998</v>
      </c>
      <c r="R42" s="1">
        <f t="shared" si="25"/>
        <v>2179.5839999999998</v>
      </c>
      <c r="S42" s="1">
        <f t="shared" si="25"/>
        <v>2361.2159999999999</v>
      </c>
      <c r="T42" s="1">
        <f t="shared" si="25"/>
        <v>2542.848</v>
      </c>
      <c r="U42" s="1">
        <f t="shared" si="25"/>
        <v>2724.4799999999996</v>
      </c>
      <c r="V42" s="1">
        <f t="shared" si="25"/>
        <v>2906.1119999999996</v>
      </c>
      <c r="W42" s="1">
        <f t="shared" si="25"/>
        <v>3927.7919999999995</v>
      </c>
      <c r="X42" s="1">
        <f t="shared" si="25"/>
        <v>4949.4719999999998</v>
      </c>
      <c r="Y42" s="1">
        <f t="shared" si="25"/>
        <v>5971.1519999999991</v>
      </c>
      <c r="Z42" s="1">
        <f t="shared" si="25"/>
        <v>6992.8319999999994</v>
      </c>
      <c r="AA42" s="1">
        <f t="shared" si="25"/>
        <v>8014.5119999999997</v>
      </c>
      <c r="AB42" s="1">
        <f t="shared" si="25"/>
        <v>9036.1919999999991</v>
      </c>
      <c r="AC42" s="1">
        <f t="shared" si="25"/>
        <v>10057.871999999999</v>
      </c>
      <c r="AD42" s="1">
        <f t="shared" si="25"/>
        <v>11079.552</v>
      </c>
      <c r="AE42" s="1">
        <f t="shared" si="25"/>
        <v>12101.231999999998</v>
      </c>
    </row>
    <row r="43" spans="1:31" x14ac:dyDescent="0.25">
      <c r="A43" t="s">
        <v>54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</row>
    <row r="44" spans="1:31" x14ac:dyDescent="0.25">
      <c r="A44" t="s">
        <v>56</v>
      </c>
      <c r="B44" s="1">
        <f>B36-B42-Investissement!B11</f>
        <v>1984.3034157509464</v>
      </c>
      <c r="C44" s="1">
        <f>C36-C42-Investissement!C11</f>
        <v>5947.0135031582977</v>
      </c>
      <c r="D44" s="1">
        <f>D36-D42-Investissement!D11</f>
        <v>10004.513411041808</v>
      </c>
      <c r="E44" s="1">
        <f>E36-E42-Investissement!E11</f>
        <v>14159.205826442929</v>
      </c>
      <c r="F44" s="1">
        <f>F36-F42-Investissement!F11</f>
        <v>18413.555774045963</v>
      </c>
      <c r="G44" s="1">
        <f>G36-G42-Investissement!G11</f>
        <v>22588.460247901632</v>
      </c>
      <c r="H44" s="1">
        <f>H36-H42-Investissement!H11</f>
        <v>26868.145886003025</v>
      </c>
      <c r="I44" s="1">
        <f>I36-I42-Investissement!I11</f>
        <v>31255.274688839825</v>
      </c>
      <c r="J44" s="1">
        <f>J36-J42-Investissement!J11</f>
        <v>35752.577783087705</v>
      </c>
      <c r="K44" s="1">
        <f>K36-K42-Investissement!K11</f>
        <v>40362.857231619637</v>
      </c>
      <c r="L44" s="1">
        <f>L36-L42-Investissement!L11</f>
        <v>45088.987891057048</v>
      </c>
      <c r="M44" s="1">
        <f>M36-M42-Investissement!M11</f>
        <v>49933.919318110922</v>
      </c>
      <c r="N44" s="1">
        <f>N36-N42-Investissement!N11</f>
        <v>54900.677725995643</v>
      </c>
      <c r="O44" s="1">
        <f>O36-O42-Investissement!O11</f>
        <v>59992.367992232299</v>
      </c>
      <c r="P44" s="1">
        <f>P36-P42-Investissement!P11</f>
        <v>65212.175719193125</v>
      </c>
      <c r="Q44" s="1">
        <f>Q36-Q42-Investissement!Q11</f>
        <v>68778.246532319667</v>
      </c>
      <c r="R44" s="1">
        <f>R36-R42-Investissement!R11</f>
        <v>72108.284881378728</v>
      </c>
      <c r="S44" s="1">
        <f>S36-S42-Investissement!S11</f>
        <v>75612.560175854247</v>
      </c>
      <c r="T44" s="1">
        <f>T36-T42-Investissement!T11</f>
        <v>79299.717450766751</v>
      </c>
      <c r="U44" s="1">
        <f>U36-U42-Investissement!U11</f>
        <v>83178.830677894788</v>
      </c>
      <c r="V44" s="1">
        <f>V36-V42-Investissement!V11</f>
        <v>87259.424048134446</v>
      </c>
      <c r="W44" s="1">
        <f>W36-W42-Investissement!W11</f>
        <v>90711.44630981583</v>
      </c>
      <c r="X44" s="1">
        <f>X36-X42-Investissement!X11</f>
        <v>94385.438215369679</v>
      </c>
      <c r="Y44" s="1">
        <f>Y36-Y42-Investissement!Y11</f>
        <v>98292.413131336449</v>
      </c>
      <c r="Z44" s="1">
        <f>Z36-Z42-Investissement!Z11</f>
        <v>102443.93086943914</v>
      </c>
      <c r="AA44" s="1">
        <f>AA36-AA42-Investissement!AA11</f>
        <v>106852.12479930448</v>
      </c>
      <c r="AB44" s="1">
        <f>AB36-AB42-Investissement!AB11</f>
        <v>111529.73030642387</v>
      </c>
      <c r="AC44" s="1">
        <f>AC36-AC42-Investissement!AC11</f>
        <v>116490.11466209972</v>
      </c>
      <c r="AD44" s="1">
        <f>AD36-AD42-Investissement!AD11</f>
        <v>121747.3083754355</v>
      </c>
      <c r="AE44" s="1">
        <f>AE36-AE42-Investissement!AE11</f>
        <v>127316.03810090311</v>
      </c>
    </row>
    <row r="45" spans="1:31" x14ac:dyDescent="0.25">
      <c r="A45" t="s">
        <v>57</v>
      </c>
      <c r="B45" s="1">
        <f>B44-B34</f>
        <v>-6171.0812603178019</v>
      </c>
      <c r="C45" s="1">
        <f t="shared" ref="C45:AE45" si="26">C44-C34</f>
        <v>-4352.3331269278824</v>
      </c>
      <c r="D45" s="1">
        <f t="shared" si="26"/>
        <v>-2422.3603893172367</v>
      </c>
      <c r="E45" s="1">
        <f t="shared" si="26"/>
        <v>-378.75203376483114</v>
      </c>
      <c r="F45" s="1">
        <f t="shared" si="26"/>
        <v>1780.9614187090992</v>
      </c>
      <c r="G45" s="1">
        <f t="shared" si="26"/>
        <v>3877.6774027045103</v>
      </c>
      <c r="H45" s="1">
        <f t="shared" si="26"/>
        <v>6095.6188375550591</v>
      </c>
      <c r="I45" s="1">
        <f t="shared" si="26"/>
        <v>8437.4396962080136</v>
      </c>
      <c r="J45" s="1">
        <f t="shared" si="26"/>
        <v>10905.858614912897</v>
      </c>
      <c r="K45" s="1">
        <f t="shared" si="26"/>
        <v>13503.660544788065</v>
      </c>
      <c r="L45" s="1">
        <f t="shared" si="26"/>
        <v>16233.698446362403</v>
      </c>
      <c r="M45" s="1">
        <f t="shared" si="26"/>
        <v>19098.895028218321</v>
      </c>
      <c r="N45" s="1">
        <f t="shared" si="26"/>
        <v>22102.244530891658</v>
      </c>
      <c r="O45" s="1">
        <f t="shared" si="26"/>
        <v>25246.814557214551</v>
      </c>
      <c r="P45" s="1">
        <f t="shared" si="26"/>
        <v>28535.747950318939</v>
      </c>
      <c r="Q45" s="1">
        <f t="shared" si="26"/>
        <v>32101.818763445481</v>
      </c>
      <c r="R45" s="1">
        <f t="shared" si="26"/>
        <v>35431.857112504542</v>
      </c>
      <c r="S45" s="1">
        <f t="shared" si="26"/>
        <v>38936.132406980061</v>
      </c>
      <c r="T45" s="1">
        <f t="shared" si="26"/>
        <v>42623.289681892566</v>
      </c>
      <c r="U45" s="1">
        <f t="shared" si="26"/>
        <v>46502.402909020602</v>
      </c>
      <c r="V45" s="1">
        <f t="shared" si="26"/>
        <v>50582.99627926026</v>
      </c>
      <c r="W45" s="1">
        <f t="shared" si="26"/>
        <v>54035.018540941644</v>
      </c>
      <c r="X45" s="1">
        <f t="shared" si="26"/>
        <v>57709.010446495493</v>
      </c>
      <c r="Y45" s="1">
        <f t="shared" si="26"/>
        <v>61615.985362462263</v>
      </c>
      <c r="Z45" s="1">
        <f t="shared" si="26"/>
        <v>65767.503100564951</v>
      </c>
      <c r="AA45" s="1">
        <f t="shared" si="26"/>
        <v>70175.697030430296</v>
      </c>
      <c r="AB45" s="1">
        <f t="shared" si="26"/>
        <v>74853.30253754968</v>
      </c>
      <c r="AC45" s="1">
        <f t="shared" si="26"/>
        <v>79813.686893225531</v>
      </c>
      <c r="AD45" s="1">
        <f t="shared" si="26"/>
        <v>85070.880606561317</v>
      </c>
      <c r="AE45" s="1">
        <f t="shared" si="26"/>
        <v>90639.610332028926</v>
      </c>
    </row>
    <row r="46" spans="1:31" x14ac:dyDescent="0.25">
      <c r="D46" s="43"/>
    </row>
    <row r="47" spans="1:31" x14ac:dyDescent="0.25">
      <c r="D47" s="43"/>
    </row>
    <row r="48" spans="1:31" x14ac:dyDescent="0.25">
      <c r="D48" s="43"/>
    </row>
  </sheetData>
  <dataConsolidate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95C1C-8374-4AEA-8E59-05A8128017B7}">
  <dimension ref="A1:AE46"/>
  <sheetViews>
    <sheetView topLeftCell="A10" zoomScale="85" zoomScaleNormal="85" workbookViewId="0">
      <selection activeCell="B16" sqref="B16"/>
    </sheetView>
  </sheetViews>
  <sheetFormatPr baseColWidth="10" defaultColWidth="8.85546875" defaultRowHeight="15" x14ac:dyDescent="0.25"/>
  <cols>
    <col min="1" max="1" width="39.140625" bestFit="1" customWidth="1"/>
    <col min="2" max="2" width="9.7109375" style="1" customWidth="1"/>
    <col min="3" max="24" width="9.7109375" customWidth="1"/>
    <col min="25" max="31" width="10.5703125" bestFit="1" customWidth="1"/>
  </cols>
  <sheetData>
    <row r="1" spans="1:31" ht="15.75" thickBot="1" x14ac:dyDescent="0.3">
      <c r="A1" t="s">
        <v>79</v>
      </c>
      <c r="C1" t="str">
        <f>_xlfn.CONCAT("SCPI - prêt ",Investissement!Tau_Prêt*100,"%")</f>
        <v>SCPI - prêt 2,6%</v>
      </c>
    </row>
    <row r="2" spans="1:31" x14ac:dyDescent="0.25">
      <c r="A2" t="s">
        <v>35</v>
      </c>
      <c r="B2" s="47">
        <v>0.1196</v>
      </c>
      <c r="E2" s="50"/>
      <c r="F2" s="51"/>
      <c r="G2" s="51"/>
      <c r="H2" s="52">
        <v>2012</v>
      </c>
      <c r="I2" s="52">
        <f>H2+1</f>
        <v>2013</v>
      </c>
      <c r="J2" s="52">
        <f t="shared" ref="J2:Q2" si="0">I2+1</f>
        <v>2014</v>
      </c>
      <c r="K2" s="52">
        <f t="shared" si="0"/>
        <v>2015</v>
      </c>
      <c r="L2" s="52">
        <f t="shared" si="0"/>
        <v>2016</v>
      </c>
      <c r="M2" s="52">
        <f t="shared" si="0"/>
        <v>2017</v>
      </c>
      <c r="N2" s="52">
        <f t="shared" si="0"/>
        <v>2018</v>
      </c>
      <c r="O2" s="52">
        <f t="shared" si="0"/>
        <v>2019</v>
      </c>
      <c r="P2" s="52">
        <f t="shared" si="0"/>
        <v>2020</v>
      </c>
      <c r="Q2" s="52">
        <f t="shared" si="0"/>
        <v>2021</v>
      </c>
      <c r="R2" s="51"/>
      <c r="S2" s="53"/>
    </row>
    <row r="3" spans="1:31" x14ac:dyDescent="0.25">
      <c r="A3" t="s">
        <v>36</v>
      </c>
      <c r="B3" s="1">
        <v>1013.7549124687399</v>
      </c>
      <c r="E3" s="54"/>
      <c r="F3" s="55"/>
      <c r="G3" s="56" t="s">
        <v>40</v>
      </c>
      <c r="H3" s="57">
        <v>1000</v>
      </c>
      <c r="I3" s="55">
        <v>1020</v>
      </c>
      <c r="J3" s="55">
        <v>1030</v>
      </c>
      <c r="K3" s="55">
        <v>1045</v>
      </c>
      <c r="L3" s="55">
        <v>1060</v>
      </c>
      <c r="M3" s="55">
        <v>1060</v>
      </c>
      <c r="N3" s="55">
        <v>1075</v>
      </c>
      <c r="O3" s="55">
        <v>1090</v>
      </c>
      <c r="P3" s="55">
        <v>1090</v>
      </c>
      <c r="Q3" s="55">
        <v>1090</v>
      </c>
      <c r="R3" s="55"/>
      <c r="S3" s="58" t="s">
        <v>39</v>
      </c>
    </row>
    <row r="4" spans="1:31" ht="15.75" thickBot="1" x14ac:dyDescent="0.3">
      <c r="A4" t="s">
        <v>37</v>
      </c>
      <c r="B4" s="1">
        <f>B3*(1+B2)</f>
        <v>1135.0000000000011</v>
      </c>
      <c r="E4" s="59"/>
      <c r="F4" s="60"/>
      <c r="G4" s="60"/>
      <c r="H4" s="61"/>
      <c r="I4" s="62">
        <f>(I3-H3)/H3</f>
        <v>0.02</v>
      </c>
      <c r="J4" s="62">
        <f t="shared" ref="J4:Q4" si="1">(J3-I3)/I3</f>
        <v>9.8039215686274508E-3</v>
      </c>
      <c r="K4" s="62">
        <f t="shared" si="1"/>
        <v>1.4563106796116505E-2</v>
      </c>
      <c r="L4" s="62">
        <f t="shared" si="1"/>
        <v>1.4354066985645933E-2</v>
      </c>
      <c r="M4" s="62">
        <f t="shared" si="1"/>
        <v>0</v>
      </c>
      <c r="N4" s="62">
        <f t="shared" si="1"/>
        <v>1.4150943396226415E-2</v>
      </c>
      <c r="O4" s="62">
        <f t="shared" si="1"/>
        <v>1.3953488372093023E-2</v>
      </c>
      <c r="P4" s="62">
        <f t="shared" si="1"/>
        <v>0</v>
      </c>
      <c r="Q4" s="62">
        <f t="shared" si="1"/>
        <v>0</v>
      </c>
      <c r="R4" s="62"/>
      <c r="S4" s="63">
        <f>AVERAGE(I4:Q4)</f>
        <v>9.6472807909677039E-3</v>
      </c>
    </row>
    <row r="6" spans="1:31" x14ac:dyDescent="0.25">
      <c r="A6" t="s">
        <v>47</v>
      </c>
      <c r="B6" s="1">
        <f>pret+Investissement!Apport</f>
        <v>66000</v>
      </c>
      <c r="D6" s="41"/>
    </row>
    <row r="7" spans="1:31" x14ac:dyDescent="0.25">
      <c r="A7" t="s">
        <v>46</v>
      </c>
      <c r="B7" s="45">
        <f>B6/B4</f>
        <v>58.149779735682763</v>
      </c>
      <c r="D7" s="1"/>
    </row>
    <row r="9" spans="1:31" x14ac:dyDescent="0.25">
      <c r="B9" s="44">
        <v>1</v>
      </c>
      <c r="C9" s="44">
        <f>B9+1</f>
        <v>2</v>
      </c>
      <c r="D9" s="44">
        <f t="shared" ref="D9:Z9" si="2">C9+1</f>
        <v>3</v>
      </c>
      <c r="E9" s="44">
        <f t="shared" si="2"/>
        <v>4</v>
      </c>
      <c r="F9" s="44">
        <f t="shared" si="2"/>
        <v>5</v>
      </c>
      <c r="G9" s="44">
        <f t="shared" si="2"/>
        <v>6</v>
      </c>
      <c r="H9" s="44">
        <f t="shared" si="2"/>
        <v>7</v>
      </c>
      <c r="I9" s="44">
        <f t="shared" si="2"/>
        <v>8</v>
      </c>
      <c r="J9" s="44">
        <f t="shared" si="2"/>
        <v>9</v>
      </c>
      <c r="K9" s="44">
        <f t="shared" si="2"/>
        <v>10</v>
      </c>
      <c r="L9" s="44">
        <f t="shared" si="2"/>
        <v>11</v>
      </c>
      <c r="M9" s="44">
        <f t="shared" si="2"/>
        <v>12</v>
      </c>
      <c r="N9" s="44">
        <f t="shared" si="2"/>
        <v>13</v>
      </c>
      <c r="O9" s="44">
        <f t="shared" si="2"/>
        <v>14</v>
      </c>
      <c r="P9" s="44">
        <f t="shared" si="2"/>
        <v>15</v>
      </c>
      <c r="Q9" s="44">
        <f t="shared" si="2"/>
        <v>16</v>
      </c>
      <c r="R9" s="44">
        <f t="shared" si="2"/>
        <v>17</v>
      </c>
      <c r="S9" s="44">
        <f t="shared" si="2"/>
        <v>18</v>
      </c>
      <c r="T9" s="44">
        <f t="shared" si="2"/>
        <v>19</v>
      </c>
      <c r="U9" s="44">
        <f t="shared" si="2"/>
        <v>20</v>
      </c>
      <c r="V9" s="44">
        <f t="shared" si="2"/>
        <v>21</v>
      </c>
      <c r="W9" s="44">
        <f t="shared" si="2"/>
        <v>22</v>
      </c>
      <c r="X9" s="44">
        <f t="shared" si="2"/>
        <v>23</v>
      </c>
      <c r="Y9" s="44">
        <f t="shared" si="2"/>
        <v>24</v>
      </c>
      <c r="Z9" s="44">
        <f t="shared" si="2"/>
        <v>25</v>
      </c>
      <c r="AA9" s="44">
        <f t="shared" ref="AA9" si="3">Z9+1</f>
        <v>26</v>
      </c>
      <c r="AB9" s="44">
        <f t="shared" ref="AB9" si="4">AA9+1</f>
        <v>27</v>
      </c>
      <c r="AC9" s="44">
        <f t="shared" ref="AC9" si="5">AB9+1</f>
        <v>28</v>
      </c>
      <c r="AD9" s="44">
        <f t="shared" ref="AD9" si="6">AC9+1</f>
        <v>29</v>
      </c>
      <c r="AE9" s="44">
        <f t="shared" ref="AE9" si="7">AD9+1</f>
        <v>30</v>
      </c>
    </row>
    <row r="10" spans="1:31" x14ac:dyDescent="0.25">
      <c r="A10" t="s">
        <v>34</v>
      </c>
      <c r="B10" s="47">
        <f>S4</f>
        <v>9.6472807909677039E-3</v>
      </c>
      <c r="C10" s="47">
        <f>B10</f>
        <v>9.6472807909677039E-3</v>
      </c>
      <c r="D10" s="47">
        <f t="shared" ref="D10:Z10" si="8">C10</f>
        <v>9.6472807909677039E-3</v>
      </c>
      <c r="E10" s="47">
        <f t="shared" si="8"/>
        <v>9.6472807909677039E-3</v>
      </c>
      <c r="F10" s="47">
        <f t="shared" si="8"/>
        <v>9.6472807909677039E-3</v>
      </c>
      <c r="G10" s="47">
        <f t="shared" si="8"/>
        <v>9.6472807909677039E-3</v>
      </c>
      <c r="H10" s="47">
        <f t="shared" si="8"/>
        <v>9.6472807909677039E-3</v>
      </c>
      <c r="I10" s="47">
        <f t="shared" si="8"/>
        <v>9.6472807909677039E-3</v>
      </c>
      <c r="J10" s="47">
        <f t="shared" si="8"/>
        <v>9.6472807909677039E-3</v>
      </c>
      <c r="K10" s="47">
        <f t="shared" si="8"/>
        <v>9.6472807909677039E-3</v>
      </c>
      <c r="L10" s="47">
        <f t="shared" si="8"/>
        <v>9.6472807909677039E-3</v>
      </c>
      <c r="M10" s="47">
        <f t="shared" si="8"/>
        <v>9.6472807909677039E-3</v>
      </c>
      <c r="N10" s="47">
        <f t="shared" si="8"/>
        <v>9.6472807909677039E-3</v>
      </c>
      <c r="O10" s="47">
        <f t="shared" si="8"/>
        <v>9.6472807909677039E-3</v>
      </c>
      <c r="P10" s="47">
        <f t="shared" si="8"/>
        <v>9.6472807909677039E-3</v>
      </c>
      <c r="Q10" s="47">
        <f t="shared" si="8"/>
        <v>9.6472807909677039E-3</v>
      </c>
      <c r="R10" s="47">
        <f t="shared" si="8"/>
        <v>9.6472807909677039E-3</v>
      </c>
      <c r="S10" s="47">
        <f t="shared" si="8"/>
        <v>9.6472807909677039E-3</v>
      </c>
      <c r="T10" s="47">
        <f t="shared" si="8"/>
        <v>9.6472807909677039E-3</v>
      </c>
      <c r="U10" s="47">
        <f t="shared" si="8"/>
        <v>9.6472807909677039E-3</v>
      </c>
      <c r="V10" s="47">
        <f t="shared" si="8"/>
        <v>9.6472807909677039E-3</v>
      </c>
      <c r="W10" s="47">
        <f t="shared" si="8"/>
        <v>9.6472807909677039E-3</v>
      </c>
      <c r="X10" s="47">
        <f t="shared" si="8"/>
        <v>9.6472807909677039E-3</v>
      </c>
      <c r="Y10" s="47">
        <f t="shared" si="8"/>
        <v>9.6472807909677039E-3</v>
      </c>
      <c r="Z10" s="47">
        <f t="shared" si="8"/>
        <v>9.6472807909677039E-3</v>
      </c>
      <c r="AA10" s="47">
        <f t="shared" ref="AA10" si="9">Z10</f>
        <v>9.6472807909677039E-3</v>
      </c>
      <c r="AB10" s="47">
        <f t="shared" ref="AB10" si="10">AA10</f>
        <v>9.6472807909677039E-3</v>
      </c>
      <c r="AC10" s="47">
        <f t="shared" ref="AC10" si="11">AB10</f>
        <v>9.6472807909677039E-3</v>
      </c>
      <c r="AD10" s="47">
        <f t="shared" ref="AD10" si="12">AC10</f>
        <v>9.6472807909677039E-3</v>
      </c>
      <c r="AE10" s="47">
        <f t="shared" ref="AE10" si="13">AD10</f>
        <v>9.6472807909677039E-3</v>
      </c>
    </row>
    <row r="11" spans="1:31" x14ac:dyDescent="0.25">
      <c r="A11" t="s">
        <v>33</v>
      </c>
      <c r="B11" s="1">
        <f>B3</f>
        <v>1013.7549124687399</v>
      </c>
      <c r="C11" s="1">
        <f>B11*(1+B10)</f>
        <v>1023.5348907625488</v>
      </c>
      <c r="D11" s="1">
        <f t="shared" ref="D11:Z11" si="14">C11*(1+C10)</f>
        <v>1033.4092192530877</v>
      </c>
      <c r="E11" s="1">
        <f t="shared" si="14"/>
        <v>1043.3788081631969</v>
      </c>
      <c r="F11" s="1">
        <f t="shared" si="14"/>
        <v>1053.4445764968925</v>
      </c>
      <c r="G11" s="1">
        <f t="shared" si="14"/>
        <v>1063.6074521240803</v>
      </c>
      <c r="H11" s="1">
        <f t="shared" si="14"/>
        <v>1073.868371866087</v>
      </c>
      <c r="I11" s="1">
        <f t="shared" si="14"/>
        <v>1084.2282815820186</v>
      </c>
      <c r="J11" s="1">
        <f t="shared" si="14"/>
        <v>1094.6881362559488</v>
      </c>
      <c r="K11" s="1">
        <f t="shared" si="14"/>
        <v>1105.2489000849512</v>
      </c>
      <c r="L11" s="1">
        <f t="shared" si="14"/>
        <v>1115.911546567979</v>
      </c>
      <c r="M11" s="1">
        <f t="shared" si="14"/>
        <v>1126.6770585956035</v>
      </c>
      <c r="N11" s="1">
        <f t="shared" si="14"/>
        <v>1137.5464285406169</v>
      </c>
      <c r="O11" s="1">
        <f t="shared" si="14"/>
        <v>1148.5206583495108</v>
      </c>
      <c r="P11" s="1">
        <f t="shared" si="14"/>
        <v>1159.6007596348356</v>
      </c>
      <c r="Q11" s="1">
        <f t="shared" si="14"/>
        <v>1170.7877537684524</v>
      </c>
      <c r="R11" s="1">
        <f t="shared" si="14"/>
        <v>1182.0826719756831</v>
      </c>
      <c r="S11" s="1">
        <f t="shared" si="14"/>
        <v>1193.4865554303699</v>
      </c>
      <c r="T11" s="1">
        <f t="shared" si="14"/>
        <v>1205.0004553508516</v>
      </c>
      <c r="U11" s="1">
        <f t="shared" si="14"/>
        <v>1216.6254330968652</v>
      </c>
      <c r="V11" s="1">
        <f t="shared" si="14"/>
        <v>1228.3625602673835</v>
      </c>
      <c r="W11" s="1">
        <f t="shared" si="14"/>
        <v>1240.2129187993951</v>
      </c>
      <c r="X11" s="1">
        <f t="shared" si="14"/>
        <v>1252.1776010676385</v>
      </c>
      <c r="Y11" s="1">
        <f t="shared" si="14"/>
        <v>1264.2577099852986</v>
      </c>
      <c r="Z11" s="1">
        <f t="shared" si="14"/>
        <v>1276.4543591056727</v>
      </c>
      <c r="AA11" s="1">
        <f t="shared" ref="AA11" si="15">Z11*(1+Z10)</f>
        <v>1288.7686727248199</v>
      </c>
      <c r="AB11" s="1">
        <f t="shared" ref="AB11" si="16">AA11*(1+AA10)</f>
        <v>1301.2017859851992</v>
      </c>
      <c r="AC11" s="1">
        <f t="shared" ref="AC11" si="17">AB11*(1+AB10)</f>
        <v>1313.7548449803071</v>
      </c>
      <c r="AD11" s="1">
        <f t="shared" ref="AD11" si="18">AC11*(1+AC10)</f>
        <v>1326.4290068603264</v>
      </c>
      <c r="AE11" s="1">
        <f t="shared" ref="AE11" si="19">AD11*(1+AD10)</f>
        <v>1339.2254399387925</v>
      </c>
    </row>
    <row r="12" spans="1:31" x14ac:dyDescent="0.25">
      <c r="A12" t="s">
        <v>80</v>
      </c>
      <c r="B12" s="45">
        <f>B7</f>
        <v>58.149779735682763</v>
      </c>
      <c r="C12" s="45">
        <f>B31</f>
        <v>58.149779735682763</v>
      </c>
      <c r="D12" s="45">
        <f t="shared" ref="D12:AE12" si="20">C31</f>
        <v>58.149779735682763</v>
      </c>
      <c r="E12" s="45">
        <f t="shared" si="20"/>
        <v>58.149779735682763</v>
      </c>
      <c r="F12" s="45">
        <f t="shared" si="20"/>
        <v>58.149779735682763</v>
      </c>
      <c r="G12" s="45">
        <f t="shared" si="20"/>
        <v>58.149779735682763</v>
      </c>
      <c r="H12" s="45">
        <f t="shared" si="20"/>
        <v>58.149779735682763</v>
      </c>
      <c r="I12" s="45">
        <f t="shared" si="20"/>
        <v>58.149779735682763</v>
      </c>
      <c r="J12" s="45">
        <f t="shared" si="20"/>
        <v>58.149779735682763</v>
      </c>
      <c r="K12" s="45">
        <f t="shared" si="20"/>
        <v>58.149779735682763</v>
      </c>
      <c r="L12" s="45">
        <f t="shared" si="20"/>
        <v>58.149779735682763</v>
      </c>
      <c r="M12" s="45">
        <f t="shared" si="20"/>
        <v>58.149779735682763</v>
      </c>
      <c r="N12" s="45">
        <f t="shared" si="20"/>
        <v>58.149779735682763</v>
      </c>
      <c r="O12" s="45">
        <f t="shared" si="20"/>
        <v>58.149779735682763</v>
      </c>
      <c r="P12" s="45">
        <f t="shared" si="20"/>
        <v>58.149779735682763</v>
      </c>
      <c r="Q12" s="45">
        <f t="shared" si="20"/>
        <v>58.149779735682763</v>
      </c>
      <c r="R12" s="45">
        <f t="shared" si="20"/>
        <v>58.149779735682763</v>
      </c>
      <c r="S12" s="45">
        <f t="shared" si="20"/>
        <v>58.149779735682763</v>
      </c>
      <c r="T12" s="45">
        <f t="shared" si="20"/>
        <v>58.149779735682763</v>
      </c>
      <c r="U12" s="45">
        <f t="shared" si="20"/>
        <v>58.149779735682763</v>
      </c>
      <c r="V12" s="45">
        <f t="shared" si="20"/>
        <v>58.149779735682763</v>
      </c>
      <c r="W12" s="45">
        <f t="shared" si="20"/>
        <v>58.149779735682763</v>
      </c>
      <c r="X12" s="45">
        <f t="shared" si="20"/>
        <v>58.149779735682763</v>
      </c>
      <c r="Y12" s="45">
        <f t="shared" si="20"/>
        <v>58.149779735682763</v>
      </c>
      <c r="Z12" s="45">
        <f t="shared" si="20"/>
        <v>58.149779735682763</v>
      </c>
      <c r="AA12" s="45">
        <f t="shared" si="20"/>
        <v>58.149779735682763</v>
      </c>
      <c r="AB12" s="45">
        <f t="shared" si="20"/>
        <v>58.149779735682763</v>
      </c>
      <c r="AC12" s="45">
        <f t="shared" si="20"/>
        <v>58.149779735682763</v>
      </c>
      <c r="AD12" s="45">
        <f t="shared" si="20"/>
        <v>58.149779735682763</v>
      </c>
      <c r="AE12" s="45">
        <f t="shared" si="20"/>
        <v>58.149779735682763</v>
      </c>
    </row>
    <row r="13" spans="1:31" x14ac:dyDescent="0.25">
      <c r="A13" t="s">
        <v>83</v>
      </c>
      <c r="B13" s="1">
        <f>B12*B11*(1+$B$2)</f>
        <v>66000</v>
      </c>
      <c r="C13" s="1">
        <f t="shared" ref="C13:AE13" si="21">C12*C11*(1+$B$2)</f>
        <v>66636.720532203879</v>
      </c>
      <c r="D13" s="1">
        <f t="shared" si="21"/>
        <v>67279.583686167301</v>
      </c>
      <c r="E13" s="1">
        <f t="shared" si="21"/>
        <v>67928.648721487159</v>
      </c>
      <c r="F13" s="1">
        <f t="shared" si="21"/>
        <v>68583.975469454352</v>
      </c>
      <c r="G13" s="1">
        <f t="shared" si="21"/>
        <v>69245.624338569032</v>
      </c>
      <c r="H13" s="1">
        <f t="shared" si="21"/>
        <v>69913.65632010909</v>
      </c>
      <c r="I13" s="1">
        <f t="shared" si="21"/>
        <v>70588.132993752384</v>
      </c>
      <c r="J13" s="1">
        <f t="shared" si="21"/>
        <v>71269.116533253313</v>
      </c>
      <c r="K13" s="1">
        <f t="shared" si="21"/>
        <v>71956.669712173811</v>
      </c>
      <c r="L13" s="1">
        <f t="shared" si="21"/>
        <v>72650.855909670077</v>
      </c>
      <c r="M13" s="1">
        <f t="shared" si="21"/>
        <v>73351.739116334807</v>
      </c>
      <c r="N13" s="1">
        <f t="shared" si="21"/>
        <v>74059.383940095897</v>
      </c>
      <c r="O13" s="1">
        <f t="shared" si="21"/>
        <v>74773.85561217209</v>
      </c>
      <c r="P13" s="1">
        <f t="shared" si="21"/>
        <v>75495.219993085993</v>
      </c>
      <c r="Q13" s="1">
        <f t="shared" si="21"/>
        <v>76223.543578735174</v>
      </c>
      <c r="R13" s="1">
        <f t="shared" si="21"/>
        <v>76958.893506521796</v>
      </c>
      <c r="S13" s="1">
        <f t="shared" si="21"/>
        <v>77701.337561541412</v>
      </c>
      <c r="T13" s="1">
        <f t="shared" si="21"/>
        <v>78450.944182831357</v>
      </c>
      <c r="U13" s="1">
        <f t="shared" si="21"/>
        <v>79207.78246967966</v>
      </c>
      <c r="V13" s="1">
        <f t="shared" si="21"/>
        <v>79971.922187994569</v>
      </c>
      <c r="W13" s="1">
        <f t="shared" si="21"/>
        <v>80743.43377673559</v>
      </c>
      <c r="X13" s="1">
        <f t="shared" si="21"/>
        <v>81522.388354406663</v>
      </c>
      <c r="Y13" s="1">
        <f t="shared" si="21"/>
        <v>82308.857725611961</v>
      </c>
      <c r="Z13" s="1">
        <f t="shared" si="21"/>
        <v>83102.91438767474</v>
      </c>
      <c r="AA13" s="1">
        <f t="shared" si="21"/>
        <v>83904.631537320412</v>
      </c>
      <c r="AB13" s="1">
        <f t="shared" si="21"/>
        <v>84714.083077423624</v>
      </c>
      <c r="AC13" s="1">
        <f t="shared" si="21"/>
        <v>85531.343623820896</v>
      </c>
      <c r="AD13" s="1">
        <f t="shared" si="21"/>
        <v>86356.488512188633</v>
      </c>
      <c r="AE13" s="1">
        <f t="shared" si="21"/>
        <v>87189.593804987715</v>
      </c>
    </row>
    <row r="15" spans="1:31" x14ac:dyDescent="0.25">
      <c r="A15" t="s">
        <v>78</v>
      </c>
      <c r="B15" s="47">
        <v>0.06</v>
      </c>
      <c r="C15" s="47">
        <v>0.06</v>
      </c>
      <c r="D15" s="47">
        <v>0.06</v>
      </c>
      <c r="E15" s="47">
        <v>0.06</v>
      </c>
      <c r="F15" s="47">
        <v>0.06</v>
      </c>
      <c r="G15" s="47">
        <v>0.06</v>
      </c>
      <c r="H15" s="47">
        <v>0.06</v>
      </c>
      <c r="I15" s="47">
        <v>0.06</v>
      </c>
      <c r="J15" s="47">
        <v>0.06</v>
      </c>
      <c r="K15" s="47">
        <v>0.06</v>
      </c>
      <c r="L15" s="47">
        <v>0.06</v>
      </c>
      <c r="M15" s="47">
        <v>0.06</v>
      </c>
      <c r="N15" s="47">
        <v>0.06</v>
      </c>
      <c r="O15" s="47">
        <v>0.06</v>
      </c>
      <c r="P15" s="47">
        <v>0.06</v>
      </c>
      <c r="Q15" s="47">
        <v>0.06</v>
      </c>
      <c r="R15" s="47">
        <v>0.06</v>
      </c>
      <c r="S15" s="47">
        <v>0.06</v>
      </c>
      <c r="T15" s="47">
        <v>0.06</v>
      </c>
      <c r="U15" s="47">
        <v>0.06</v>
      </c>
      <c r="V15" s="47">
        <v>0.06</v>
      </c>
      <c r="W15" s="47">
        <v>0.06</v>
      </c>
      <c r="X15" s="47">
        <v>0.06</v>
      </c>
      <c r="Y15" s="47">
        <v>0.06</v>
      </c>
      <c r="Z15" s="47">
        <v>0.06</v>
      </c>
      <c r="AA15" s="47">
        <v>0.06</v>
      </c>
      <c r="AB15" s="47">
        <v>0.06</v>
      </c>
      <c r="AC15" s="47">
        <v>0.06</v>
      </c>
      <c r="AD15" s="47">
        <v>0.06</v>
      </c>
      <c r="AE15" s="47">
        <v>0.06</v>
      </c>
    </row>
    <row r="16" spans="1:31" x14ac:dyDescent="0.25">
      <c r="A16" t="s">
        <v>41</v>
      </c>
      <c r="B16" s="1">
        <f>B11*B15*B12</f>
        <v>3536.9774919614151</v>
      </c>
      <c r="C16" s="1">
        <f t="shared" ref="C16:AE16" si="22">C11*C15*C12</f>
        <v>3571.0997069776995</v>
      </c>
      <c r="D16" s="1">
        <f t="shared" si="22"/>
        <v>3605.5511085834569</v>
      </c>
      <c r="E16" s="1">
        <f t="shared" si="22"/>
        <v>3640.3348725341461</v>
      </c>
      <c r="F16" s="1">
        <f t="shared" si="22"/>
        <v>3675.4542052226348</v>
      </c>
      <c r="G16" s="1">
        <f t="shared" si="22"/>
        <v>3710.9123439747609</v>
      </c>
      <c r="H16" s="1">
        <f t="shared" si="22"/>
        <v>3746.7125573477538</v>
      </c>
      <c r="I16" s="1">
        <f t="shared" si="22"/>
        <v>3782.8581454315326</v>
      </c>
      <c r="J16" s="1">
        <f t="shared" si="22"/>
        <v>3819.3524401529103</v>
      </c>
      <c r="K16" s="1">
        <f t="shared" si="22"/>
        <v>3856.1988055827337</v>
      </c>
      <c r="L16" s="1">
        <f t="shared" si="22"/>
        <v>3893.4006382459847</v>
      </c>
      <c r="M16" s="1">
        <f t="shared" si="22"/>
        <v>3930.9613674348766</v>
      </c>
      <c r="N16" s="1">
        <f t="shared" si="22"/>
        <v>3968.884455524968</v>
      </c>
      <c r="O16" s="1">
        <f t="shared" si="22"/>
        <v>4007.1733982943238</v>
      </c>
      <c r="P16" s="1">
        <f t="shared" si="22"/>
        <v>4045.8317252457659</v>
      </c>
      <c r="Q16" s="1">
        <f t="shared" si="22"/>
        <v>4084.8629999322179</v>
      </c>
      <c r="R16" s="1">
        <f t="shared" si="22"/>
        <v>4124.2708202851982</v>
      </c>
      <c r="S16" s="1">
        <f t="shared" si="22"/>
        <v>4164.0588189464843</v>
      </c>
      <c r="T16" s="1">
        <f t="shared" si="22"/>
        <v>4204.2306636029671</v>
      </c>
      <c r="U16" s="1">
        <f t="shared" si="22"/>
        <v>4244.7900573247407</v>
      </c>
      <c r="V16" s="1">
        <f t="shared" si="22"/>
        <v>4285.740738906461</v>
      </c>
      <c r="W16" s="1">
        <f t="shared" si="22"/>
        <v>4327.0864832119814</v>
      </c>
      <c r="X16" s="1">
        <f t="shared" si="22"/>
        <v>4368.8311015223298</v>
      </c>
      <c r="Y16" s="1">
        <f t="shared" si="22"/>
        <v>4410.9784418870286</v>
      </c>
      <c r="Z16" s="1">
        <f t="shared" si="22"/>
        <v>4453.532389478818</v>
      </c>
      <c r="AA16" s="1">
        <f t="shared" si="22"/>
        <v>4496.4968669517903</v>
      </c>
      <c r="AB16" s="1">
        <f t="shared" si="22"/>
        <v>4539.8758348029814</v>
      </c>
      <c r="AC16" s="1">
        <f t="shared" si="22"/>
        <v>4583.6732917374547</v>
      </c>
      <c r="AD16" s="1">
        <f t="shared" si="22"/>
        <v>4627.8932750369049</v>
      </c>
      <c r="AE16" s="1">
        <f t="shared" si="22"/>
        <v>4672.5398609318181</v>
      </c>
    </row>
    <row r="17" spans="1:31" x14ac:dyDescent="0.25">
      <c r="A17" t="s">
        <v>42</v>
      </c>
      <c r="B17" s="46">
        <v>0.17</v>
      </c>
      <c r="C17" s="46">
        <v>0.17</v>
      </c>
      <c r="D17" s="46">
        <v>0.17</v>
      </c>
      <c r="E17" s="46">
        <v>0.17</v>
      </c>
      <c r="F17" s="46">
        <v>0.17</v>
      </c>
      <c r="G17" s="46">
        <v>0.17</v>
      </c>
      <c r="H17" s="46">
        <v>0.17</v>
      </c>
      <c r="I17" s="46">
        <v>0.17</v>
      </c>
      <c r="J17" s="46">
        <v>0.17</v>
      </c>
      <c r="K17" s="46">
        <v>0.17</v>
      </c>
      <c r="L17" s="46">
        <v>0.17</v>
      </c>
      <c r="M17" s="46">
        <v>0.17</v>
      </c>
      <c r="N17" s="46">
        <v>0.17</v>
      </c>
      <c r="O17" s="46">
        <v>0.17</v>
      </c>
      <c r="P17" s="46">
        <v>0.17</v>
      </c>
      <c r="Q17" s="46">
        <v>0.17</v>
      </c>
      <c r="R17" s="46">
        <v>0.17</v>
      </c>
      <c r="S17" s="46">
        <v>0.17</v>
      </c>
      <c r="T17" s="46">
        <v>0.17</v>
      </c>
      <c r="U17" s="46">
        <v>0.17</v>
      </c>
      <c r="V17" s="46">
        <v>0.17</v>
      </c>
      <c r="W17" s="46">
        <v>0.17</v>
      </c>
      <c r="X17" s="46">
        <v>0.17</v>
      </c>
      <c r="Y17" s="46">
        <v>0.17</v>
      </c>
      <c r="Z17" s="46">
        <v>0.17</v>
      </c>
      <c r="AA17" s="46">
        <v>0.17</v>
      </c>
      <c r="AB17" s="46">
        <v>0.17</v>
      </c>
      <c r="AC17" s="46">
        <v>0.17</v>
      </c>
      <c r="AD17" s="46">
        <v>0.17</v>
      </c>
      <c r="AE17" s="46">
        <v>0.17</v>
      </c>
    </row>
    <row r="18" spans="1:31" x14ac:dyDescent="0.25">
      <c r="A18" t="s">
        <v>44</v>
      </c>
      <c r="B18" s="48">
        <f>B17*B16</f>
        <v>601.28617363344063</v>
      </c>
      <c r="C18" s="48">
        <f t="shared" ref="C18:Z18" si="23">C17*C16</f>
        <v>607.08695018620892</v>
      </c>
      <c r="D18" s="48">
        <f t="shared" si="23"/>
        <v>612.94368845918768</v>
      </c>
      <c r="E18" s="48">
        <f t="shared" si="23"/>
        <v>618.85692833080486</v>
      </c>
      <c r="F18" s="48">
        <f t="shared" si="23"/>
        <v>624.82721488784796</v>
      </c>
      <c r="G18" s="48">
        <f t="shared" si="23"/>
        <v>630.85509847570938</v>
      </c>
      <c r="H18" s="48">
        <f t="shared" si="23"/>
        <v>636.94113474911819</v>
      </c>
      <c r="I18" s="48">
        <f t="shared" si="23"/>
        <v>643.08588472336055</v>
      </c>
      <c r="J18" s="48">
        <f t="shared" si="23"/>
        <v>649.28991482599474</v>
      </c>
      <c r="K18" s="48">
        <f t="shared" si="23"/>
        <v>655.5537969490648</v>
      </c>
      <c r="L18" s="48">
        <f t="shared" si="23"/>
        <v>661.87810850181745</v>
      </c>
      <c r="M18" s="48">
        <f t="shared" si="23"/>
        <v>668.26343246392912</v>
      </c>
      <c r="N18" s="48">
        <f t="shared" si="23"/>
        <v>674.7103574392446</v>
      </c>
      <c r="O18" s="48">
        <f t="shared" si="23"/>
        <v>681.21947771003511</v>
      </c>
      <c r="P18" s="48">
        <f t="shared" si="23"/>
        <v>687.79139329178031</v>
      </c>
      <c r="Q18" s="48">
        <f t="shared" si="23"/>
        <v>694.42670998847711</v>
      </c>
      <c r="R18" s="48">
        <f t="shared" si="23"/>
        <v>701.12603944848377</v>
      </c>
      <c r="S18" s="48">
        <f t="shared" si="23"/>
        <v>707.88999922090238</v>
      </c>
      <c r="T18" s="48">
        <f t="shared" si="23"/>
        <v>714.71921281250445</v>
      </c>
      <c r="U18" s="48">
        <f t="shared" si="23"/>
        <v>721.61430974520601</v>
      </c>
      <c r="V18" s="48">
        <f t="shared" si="23"/>
        <v>728.57592561409842</v>
      </c>
      <c r="W18" s="48">
        <f t="shared" si="23"/>
        <v>735.60470214603686</v>
      </c>
      <c r="X18" s="48">
        <f t="shared" si="23"/>
        <v>742.70128725879613</v>
      </c>
      <c r="Y18" s="48">
        <f t="shared" si="23"/>
        <v>749.86633512079493</v>
      </c>
      <c r="Z18" s="48">
        <f t="shared" si="23"/>
        <v>757.10050621139908</v>
      </c>
      <c r="AA18" s="48">
        <f t="shared" ref="AA18:AE18" si="24">AA17*AA16</f>
        <v>764.40446738180435</v>
      </c>
      <c r="AB18" s="48">
        <f t="shared" si="24"/>
        <v>771.77889191650695</v>
      </c>
      <c r="AC18" s="48">
        <f t="shared" si="24"/>
        <v>779.22445959536731</v>
      </c>
      <c r="AD18" s="48">
        <f t="shared" si="24"/>
        <v>786.74185675627393</v>
      </c>
      <c r="AE18" s="48">
        <f t="shared" si="24"/>
        <v>794.33177635840912</v>
      </c>
    </row>
    <row r="19" spans="1:31" s="1" customFormat="1" x14ac:dyDescent="0.25">
      <c r="A19" s="1" t="s">
        <v>45</v>
      </c>
      <c r="B19" s="1">
        <f>B16-B18</f>
        <v>2935.6913183279744</v>
      </c>
      <c r="C19" s="1">
        <f t="shared" ref="C19:Z19" si="25">C16-C18</f>
        <v>2964.0127567914906</v>
      </c>
      <c r="D19" s="1">
        <f t="shared" si="25"/>
        <v>2992.6074201242691</v>
      </c>
      <c r="E19" s="1">
        <f t="shared" si="25"/>
        <v>3021.4779442033414</v>
      </c>
      <c r="F19" s="1">
        <f t="shared" si="25"/>
        <v>3050.6269903347866</v>
      </c>
      <c r="G19" s="1">
        <f t="shared" si="25"/>
        <v>3080.0572454990515</v>
      </c>
      <c r="H19" s="1">
        <f t="shared" si="25"/>
        <v>3109.7714225986356</v>
      </c>
      <c r="I19" s="1">
        <f t="shared" si="25"/>
        <v>3139.7722607081723</v>
      </c>
      <c r="J19" s="1">
        <f t="shared" si="25"/>
        <v>3170.0625253269154</v>
      </c>
      <c r="K19" s="1">
        <f t="shared" si="25"/>
        <v>3200.645008633669</v>
      </c>
      <c r="L19" s="1">
        <f t="shared" si="25"/>
        <v>3231.5225297441675</v>
      </c>
      <c r="M19" s="1">
        <f t="shared" si="25"/>
        <v>3262.6979349709472</v>
      </c>
      <c r="N19" s="1">
        <f t="shared" si="25"/>
        <v>3294.1740980857235</v>
      </c>
      <c r="O19" s="1">
        <f t="shared" si="25"/>
        <v>3325.9539205842884</v>
      </c>
      <c r="P19" s="1">
        <f t="shared" si="25"/>
        <v>3358.0403319539855</v>
      </c>
      <c r="Q19" s="1">
        <f t="shared" si="25"/>
        <v>3390.436289943741</v>
      </c>
      <c r="R19" s="1">
        <f t="shared" si="25"/>
        <v>3423.1447808367143</v>
      </c>
      <c r="S19" s="1">
        <f t="shared" si="25"/>
        <v>3456.1688197255817</v>
      </c>
      <c r="T19" s="1">
        <f t="shared" si="25"/>
        <v>3489.5114507904627</v>
      </c>
      <c r="U19" s="1">
        <f t="shared" si="25"/>
        <v>3523.1757475795348</v>
      </c>
      <c r="V19" s="1">
        <f t="shared" si="25"/>
        <v>3557.1648132923629</v>
      </c>
      <c r="W19" s="1">
        <f t="shared" si="25"/>
        <v>3591.4817810659447</v>
      </c>
      <c r="X19" s="1">
        <f t="shared" si="25"/>
        <v>3626.1298142635337</v>
      </c>
      <c r="Y19" s="1">
        <f t="shared" si="25"/>
        <v>3661.1121067662334</v>
      </c>
      <c r="Z19" s="1">
        <f t="shared" si="25"/>
        <v>3696.4318832674189</v>
      </c>
      <c r="AA19" s="1">
        <f t="shared" ref="AA19:AE19" si="26">AA16-AA18</f>
        <v>3732.0923995699859</v>
      </c>
      <c r="AB19" s="1">
        <f t="shared" si="26"/>
        <v>3768.0969428864746</v>
      </c>
      <c r="AC19" s="1">
        <f t="shared" si="26"/>
        <v>3804.4488321420877</v>
      </c>
      <c r="AD19" s="1">
        <f t="shared" si="26"/>
        <v>3841.1514182806309</v>
      </c>
      <c r="AE19" s="1">
        <f t="shared" si="26"/>
        <v>3878.208084573409</v>
      </c>
    </row>
    <row r="21" spans="1:31" x14ac:dyDescent="0.25">
      <c r="A21" t="s">
        <v>48</v>
      </c>
      <c r="B21" s="1">
        <f>IF(B19&gt;Investissement!B10,B19-Investissement!B10,0)</f>
        <v>1538.4246967840313</v>
      </c>
      <c r="C21" s="1">
        <f>IF(C19&gt;Investissement!C10,C19-Investissement!C10,0)</f>
        <v>1646.5948459858446</v>
      </c>
      <c r="D21" s="1">
        <f>IF(D19&gt;Investissement!D10,D19-Investissement!D10,0)</f>
        <v>1757.139205878678</v>
      </c>
      <c r="E21" s="1">
        <f>IF(E19&gt;Investissement!E10,E19-Investissement!E10,0)</f>
        <v>1870.1156936507118</v>
      </c>
      <c r="F21" s="1">
        <f>IF(F19&gt;Investissement!F10,F19-Investissement!F10,0)</f>
        <v>1985.5837064855655</v>
      </c>
      <c r="G21" s="1">
        <f>IF(G19&gt;Investissement!G10,G19-Investissement!G10,0)</f>
        <v>2103.6041600802855</v>
      </c>
      <c r="H21" s="1">
        <f>IF(H19&gt;Investissement!H10,H19-Investissement!H10,0)</f>
        <v>2224.2395281727358</v>
      </c>
      <c r="I21" s="1">
        <f>IF(I19&gt;Investissement!I10,I19-Investissement!I10,0)</f>
        <v>2347.5538831049116</v>
      </c>
      <c r="J21" s="1">
        <f>IF(J19&gt;Investissement!J10,J19-Investissement!J10,0)</f>
        <v>2473.6129374493867</v>
      </c>
      <c r="K21" s="1">
        <f>IF(K19&gt;Investissement!K10,K19-Investissement!K10,0)</f>
        <v>2602.4840867268395</v>
      </c>
      <c r="L21" s="1">
        <f>IF(L19&gt;Investissement!L10,L19-Investissement!L10,0)</f>
        <v>2734.2364532433025</v>
      </c>
      <c r="M21" s="1">
        <f>IF(M19&gt;Investissement!M10,M19-Investissement!M10,0)</f>
        <v>2868.94093107659</v>
      </c>
      <c r="N21" s="1">
        <f>IF(N19&gt;Investissement!N10,N19-Investissement!N10,0)</f>
        <v>3006.6702322420724</v>
      </c>
      <c r="O21" s="1">
        <f>IF(O19&gt;Investissement!O10,O19-Investissement!O10,0)</f>
        <v>3147.4989340687871</v>
      </c>
      <c r="P21" s="1">
        <f>IF(P19&gt;Investissement!P10,P19-Investissement!P10,0)</f>
        <v>3291.5035278177243</v>
      </c>
      <c r="Q21" s="1">
        <f>IF(Q19&gt;Investissement!Q10,Q19-Investissement!Q10,0)</f>
        <v>3390.436289943741</v>
      </c>
      <c r="R21" s="1">
        <f>IF(R19&gt;Investissement!R10,R19-Investissement!R10,0)</f>
        <v>3423.1447808367143</v>
      </c>
      <c r="S21" s="1">
        <f>IF(S19&gt;Investissement!S10,S19-Investissement!S10,0)</f>
        <v>3456.1688197255817</v>
      </c>
      <c r="T21" s="1">
        <f>IF(T19&gt;Investissement!T10,T19-Investissement!T10,0)</f>
        <v>3489.5114507904627</v>
      </c>
      <c r="U21" s="1">
        <f>IF(U19&gt;Investissement!U10,U19-Investissement!U10,0)</f>
        <v>3523.1757475795348</v>
      </c>
      <c r="V21" s="1">
        <f>IF(V19&gt;Investissement!V10,V19-Investissement!V10,0)</f>
        <v>3557.1648132923629</v>
      </c>
      <c r="W21" s="1">
        <f>IF(W19&gt;Investissement!W10,W19-Investissement!W10,0)</f>
        <v>3591.4817810659447</v>
      </c>
      <c r="X21" s="1">
        <f>IF(X19&gt;Investissement!X10,X19-Investissement!X10,0)</f>
        <v>3626.1298142635337</v>
      </c>
      <c r="Y21" s="1">
        <f>IF(Y19&gt;Investissement!Y10,Y19-Investissement!Y10,0)</f>
        <v>3661.1121067662334</v>
      </c>
      <c r="Z21" s="1">
        <f>IF(Z19&gt;Investissement!Z10,Z19-Investissement!Z10,0)</f>
        <v>3696.4318832674189</v>
      </c>
      <c r="AA21" s="1">
        <f>IF(AA19&gt;Investissement!AA10,AA19-Investissement!AA10,0)</f>
        <v>3732.0923995699859</v>
      </c>
      <c r="AB21" s="1">
        <f>IF(AB19&gt;Investissement!AB10,AB19-Investissement!AB10,0)</f>
        <v>3768.0969428864746</v>
      </c>
      <c r="AC21" s="1">
        <f>IF(AC19&gt;Investissement!AC10,AC19-Investissement!AC10,0)</f>
        <v>3804.4488321420877</v>
      </c>
      <c r="AD21" s="1">
        <f>IF(AD19&gt;Investissement!AD10,AD19-Investissement!AD10,0)</f>
        <v>3841.1514182806309</v>
      </c>
      <c r="AE21" s="1">
        <f>IF(AE19&gt;Investissement!AE10,AE19-Investissement!AE10,0)</f>
        <v>3878.208084573409</v>
      </c>
    </row>
    <row r="22" spans="1:31" x14ac:dyDescent="0.25">
      <c r="A22" t="s">
        <v>43</v>
      </c>
      <c r="B22" s="46">
        <f>Investissement!B13</f>
        <v>0.11</v>
      </c>
      <c r="C22" s="43">
        <f>B22</f>
        <v>0.11</v>
      </c>
      <c r="D22" s="43">
        <f t="shared" ref="D22:Z22" si="27">C22</f>
        <v>0.11</v>
      </c>
      <c r="E22" s="43">
        <f t="shared" si="27"/>
        <v>0.11</v>
      </c>
      <c r="F22" s="43">
        <f t="shared" si="27"/>
        <v>0.11</v>
      </c>
      <c r="G22" s="43">
        <f t="shared" si="27"/>
        <v>0.11</v>
      </c>
      <c r="H22" s="43">
        <f t="shared" si="27"/>
        <v>0.11</v>
      </c>
      <c r="I22" s="43">
        <f t="shared" si="27"/>
        <v>0.11</v>
      </c>
      <c r="J22" s="43">
        <f t="shared" si="27"/>
        <v>0.11</v>
      </c>
      <c r="K22" s="43">
        <f t="shared" si="27"/>
        <v>0.11</v>
      </c>
      <c r="L22" s="43">
        <f t="shared" si="27"/>
        <v>0.11</v>
      </c>
      <c r="M22" s="43">
        <f t="shared" si="27"/>
        <v>0.11</v>
      </c>
      <c r="N22" s="43">
        <f t="shared" si="27"/>
        <v>0.11</v>
      </c>
      <c r="O22" s="43">
        <f t="shared" si="27"/>
        <v>0.11</v>
      </c>
      <c r="P22" s="43">
        <f t="shared" si="27"/>
        <v>0.11</v>
      </c>
      <c r="Q22" s="43">
        <f t="shared" si="27"/>
        <v>0.11</v>
      </c>
      <c r="R22" s="43">
        <f t="shared" si="27"/>
        <v>0.11</v>
      </c>
      <c r="S22" s="43">
        <f t="shared" si="27"/>
        <v>0.11</v>
      </c>
      <c r="T22" s="43">
        <f t="shared" si="27"/>
        <v>0.11</v>
      </c>
      <c r="U22" s="43">
        <f t="shared" si="27"/>
        <v>0.11</v>
      </c>
      <c r="V22" s="43">
        <f t="shared" si="27"/>
        <v>0.11</v>
      </c>
      <c r="W22" s="43">
        <f t="shared" si="27"/>
        <v>0.11</v>
      </c>
      <c r="X22" s="43">
        <f t="shared" si="27"/>
        <v>0.11</v>
      </c>
      <c r="Y22" s="43">
        <f t="shared" si="27"/>
        <v>0.11</v>
      </c>
      <c r="Z22" s="43">
        <f t="shared" si="27"/>
        <v>0.11</v>
      </c>
      <c r="AA22" s="43">
        <f t="shared" ref="AA22" si="28">Z22</f>
        <v>0.11</v>
      </c>
      <c r="AB22" s="43">
        <f t="shared" ref="AB22" si="29">AA22</f>
        <v>0.11</v>
      </c>
      <c r="AC22" s="43">
        <f t="shared" ref="AC22" si="30">AB22</f>
        <v>0.11</v>
      </c>
      <c r="AD22" s="43">
        <f t="shared" ref="AD22" si="31">AC22</f>
        <v>0.11</v>
      </c>
      <c r="AE22" s="43">
        <f t="shared" ref="AE22" si="32">AD22</f>
        <v>0.11</v>
      </c>
    </row>
    <row r="23" spans="1:31" x14ac:dyDescent="0.25">
      <c r="A23" t="s">
        <v>49</v>
      </c>
      <c r="B23" s="1">
        <f>B21*B22</f>
        <v>169.22671664624343</v>
      </c>
      <c r="C23" s="1">
        <f t="shared" ref="C23:Z23" si="33">C21*C22</f>
        <v>181.12543305844289</v>
      </c>
      <c r="D23" s="1">
        <f t="shared" si="33"/>
        <v>193.28531264665457</v>
      </c>
      <c r="E23" s="1">
        <f t="shared" si="33"/>
        <v>205.7127263015783</v>
      </c>
      <c r="F23" s="1">
        <f t="shared" si="33"/>
        <v>218.4142077134122</v>
      </c>
      <c r="G23" s="1">
        <f t="shared" si="33"/>
        <v>231.39645760883141</v>
      </c>
      <c r="H23" s="1">
        <f t="shared" si="33"/>
        <v>244.66634809900094</v>
      </c>
      <c r="I23" s="1">
        <f t="shared" si="33"/>
        <v>258.23092714154029</v>
      </c>
      <c r="J23" s="1">
        <f t="shared" si="33"/>
        <v>272.09742311943256</v>
      </c>
      <c r="K23" s="1">
        <f t="shared" si="33"/>
        <v>286.27324953995236</v>
      </c>
      <c r="L23" s="1">
        <f t="shared" si="33"/>
        <v>300.76600985676328</v>
      </c>
      <c r="M23" s="1">
        <f t="shared" si="33"/>
        <v>315.58350241842493</v>
      </c>
      <c r="N23" s="1">
        <f t="shared" si="33"/>
        <v>330.73372554662797</v>
      </c>
      <c r="O23" s="1">
        <f t="shared" si="33"/>
        <v>346.2248827475666</v>
      </c>
      <c r="P23" s="1">
        <f t="shared" si="33"/>
        <v>362.06538805994967</v>
      </c>
      <c r="Q23" s="1">
        <f t="shared" si="33"/>
        <v>372.94799189381149</v>
      </c>
      <c r="R23" s="1">
        <f t="shared" si="33"/>
        <v>376.54592589203855</v>
      </c>
      <c r="S23" s="1">
        <f t="shared" si="33"/>
        <v>380.17857016981401</v>
      </c>
      <c r="T23" s="1">
        <f t="shared" si="33"/>
        <v>383.84625958695091</v>
      </c>
      <c r="U23" s="1">
        <f t="shared" si="33"/>
        <v>387.54933223374883</v>
      </c>
      <c r="V23" s="1">
        <f t="shared" si="33"/>
        <v>391.28812946215993</v>
      </c>
      <c r="W23" s="1">
        <f t="shared" si="33"/>
        <v>395.06299591725394</v>
      </c>
      <c r="X23" s="1">
        <f t="shared" si="33"/>
        <v>398.8742795689887</v>
      </c>
      <c r="Y23" s="1">
        <f t="shared" si="33"/>
        <v>402.72233174428567</v>
      </c>
      <c r="Z23" s="1">
        <f t="shared" si="33"/>
        <v>406.60750715941606</v>
      </c>
      <c r="AA23" s="1">
        <f t="shared" ref="AA23:AE23" si="34">AA21*AA22</f>
        <v>410.53016395269844</v>
      </c>
      <c r="AB23" s="1">
        <f t="shared" si="34"/>
        <v>414.49066371751223</v>
      </c>
      <c r="AC23" s="1">
        <f t="shared" si="34"/>
        <v>418.48937153562963</v>
      </c>
      <c r="AD23" s="1">
        <f t="shared" si="34"/>
        <v>422.52665601086937</v>
      </c>
      <c r="AE23" s="1">
        <f t="shared" si="34"/>
        <v>426.60288930307502</v>
      </c>
    </row>
    <row r="24" spans="1:31" x14ac:dyDescent="0.25">
      <c r="A24" t="s">
        <v>50</v>
      </c>
      <c r="B24" s="1">
        <f>B19-B23</f>
        <v>2766.464601681731</v>
      </c>
      <c r="C24" s="1">
        <f t="shared" ref="C24:Z24" si="35">C19-C23</f>
        <v>2782.8873237330477</v>
      </c>
      <c r="D24" s="1">
        <f t="shared" si="35"/>
        <v>2799.3221074776147</v>
      </c>
      <c r="E24" s="1">
        <f t="shared" si="35"/>
        <v>2815.7652179017632</v>
      </c>
      <c r="F24" s="1">
        <f t="shared" si="35"/>
        <v>2832.2127826213746</v>
      </c>
      <c r="G24" s="1">
        <f t="shared" si="35"/>
        <v>2848.66078789022</v>
      </c>
      <c r="H24" s="1">
        <f t="shared" si="35"/>
        <v>2865.1050744996346</v>
      </c>
      <c r="I24" s="1">
        <f t="shared" si="35"/>
        <v>2881.5413335666321</v>
      </c>
      <c r="J24" s="1">
        <f t="shared" si="35"/>
        <v>2897.9651022074827</v>
      </c>
      <c r="K24" s="1">
        <f t="shared" si="35"/>
        <v>2914.3717590937167</v>
      </c>
      <c r="L24" s="1">
        <f t="shared" si="35"/>
        <v>2930.7565198874045</v>
      </c>
      <c r="M24" s="1">
        <f t="shared" si="35"/>
        <v>2947.1144325525224</v>
      </c>
      <c r="N24" s="1">
        <f t="shared" si="35"/>
        <v>2963.4403725390957</v>
      </c>
      <c r="O24" s="1">
        <f t="shared" si="35"/>
        <v>2979.729037836722</v>
      </c>
      <c r="P24" s="1">
        <f t="shared" si="35"/>
        <v>2995.9749438940357</v>
      </c>
      <c r="Q24" s="1">
        <f t="shared" si="35"/>
        <v>3017.4882980499297</v>
      </c>
      <c r="R24" s="1">
        <f t="shared" si="35"/>
        <v>3046.5988549446756</v>
      </c>
      <c r="S24" s="1">
        <f t="shared" si="35"/>
        <v>3075.9902495557676</v>
      </c>
      <c r="T24" s="1">
        <f t="shared" si="35"/>
        <v>3105.6651912035118</v>
      </c>
      <c r="U24" s="1">
        <f t="shared" si="35"/>
        <v>3135.626415345786</v>
      </c>
      <c r="V24" s="1">
        <f t="shared" si="35"/>
        <v>3165.8766838302031</v>
      </c>
      <c r="W24" s="1">
        <f t="shared" si="35"/>
        <v>3196.4187851486909</v>
      </c>
      <c r="X24" s="1">
        <f t="shared" si="35"/>
        <v>3227.2555346945451</v>
      </c>
      <c r="Y24" s="1">
        <f t="shared" si="35"/>
        <v>3258.3897750219476</v>
      </c>
      <c r="Z24" s="1">
        <f t="shared" si="35"/>
        <v>3289.824376108003</v>
      </c>
      <c r="AA24" s="1">
        <f t="shared" ref="AA24:AE24" si="36">AA19-AA23</f>
        <v>3321.5622356172876</v>
      </c>
      <c r="AB24" s="1">
        <f t="shared" si="36"/>
        <v>3353.6062791689624</v>
      </c>
      <c r="AC24" s="1">
        <f t="shared" si="36"/>
        <v>3385.9594606064579</v>
      </c>
      <c r="AD24" s="1">
        <f t="shared" si="36"/>
        <v>3418.6247622697615</v>
      </c>
      <c r="AE24" s="1">
        <f t="shared" si="36"/>
        <v>3451.6051952703338</v>
      </c>
    </row>
    <row r="26" spans="1:31" x14ac:dyDescent="0.25">
      <c r="A26" t="s">
        <v>51</v>
      </c>
      <c r="B26" s="49">
        <f>B24-Investissement!B9</f>
        <v>-2155.3846760687479</v>
      </c>
      <c r="C26" s="49">
        <f>C24-Investissement!C9</f>
        <v>-2143.9619540174313</v>
      </c>
      <c r="D26" s="49">
        <f>D24-Investissement!D9</f>
        <v>-2127.5271702728642</v>
      </c>
      <c r="E26" s="49">
        <f>E24-Investissement!E9</f>
        <v>-2111.0840598487157</v>
      </c>
      <c r="F26" s="49">
        <f>F24-Investissement!F9</f>
        <v>-2094.6364951291043</v>
      </c>
      <c r="G26" s="49">
        <f>G24-Investissement!G9</f>
        <v>-2078.1884898602589</v>
      </c>
      <c r="H26" s="49">
        <f>H24-Investissement!H9</f>
        <v>-2061.7442032508443</v>
      </c>
      <c r="I26" s="49">
        <f>I24-Investissement!I9</f>
        <v>-2045.3079441838468</v>
      </c>
      <c r="J26" s="49">
        <f>J24-Investissement!J9</f>
        <v>-2028.8841755429962</v>
      </c>
      <c r="K26" s="49">
        <f>K24-Investissement!K9</f>
        <v>-2012.4775186567622</v>
      </c>
      <c r="L26" s="49">
        <f>L24-Investissement!L9</f>
        <v>-1996.0927578630744</v>
      </c>
      <c r="M26" s="49">
        <f>M24-Investissement!M9</f>
        <v>-1979.7348451979565</v>
      </c>
      <c r="N26" s="49">
        <f>N24-Investissement!N9</f>
        <v>-1963.4089052113832</v>
      </c>
      <c r="O26" s="49">
        <f>O24-Investissement!O9</f>
        <v>-1947.1202399137569</v>
      </c>
      <c r="P26" s="49">
        <f>P24-Investissement!P9</f>
        <v>-1930.8743338564432</v>
      </c>
      <c r="Q26" s="49">
        <f>Q24-Investissement!Q9</f>
        <v>3017.4882980499297</v>
      </c>
      <c r="R26" s="49">
        <f>R24-Investissement!R9</f>
        <v>3046.5988549446756</v>
      </c>
      <c r="S26" s="49">
        <f>S24-Investissement!S9</f>
        <v>3075.9902495557676</v>
      </c>
      <c r="T26" s="49">
        <f>T24-Investissement!T9</f>
        <v>3105.6651912035118</v>
      </c>
      <c r="U26" s="49">
        <f>U24-Investissement!U9</f>
        <v>3135.626415345786</v>
      </c>
      <c r="V26" s="49">
        <f>V24-Investissement!V9</f>
        <v>3165.8766838302031</v>
      </c>
      <c r="W26" s="49">
        <f>W24-Investissement!W9</f>
        <v>3196.4187851486909</v>
      </c>
      <c r="X26" s="49">
        <f>X24-Investissement!X9</f>
        <v>3227.2555346945451</v>
      </c>
      <c r="Y26" s="49">
        <f>Y24-Investissement!Y9</f>
        <v>3258.3897750219476</v>
      </c>
      <c r="Z26" s="49">
        <f>Z24-Investissement!Z9</f>
        <v>3289.824376108003</v>
      </c>
      <c r="AA26" s="49">
        <f>AA24-Investissement!AA9</f>
        <v>3321.5622356172876</v>
      </c>
      <c r="AB26" s="49">
        <f>AB24-Investissement!AB9</f>
        <v>3353.6062791689624</v>
      </c>
      <c r="AC26" s="49">
        <f>AC24-Investissement!AC9</f>
        <v>3385.9594606064579</v>
      </c>
      <c r="AD26" s="49">
        <f>AD24-Investissement!AD9</f>
        <v>3418.6247622697615</v>
      </c>
      <c r="AE26" s="49">
        <f>AE24-Investissement!AE9</f>
        <v>3451.6051952703338</v>
      </c>
    </row>
    <row r="27" spans="1:31" x14ac:dyDescent="0.25">
      <c r="A27" t="s">
        <v>53</v>
      </c>
      <c r="B27" s="49">
        <f>B26</f>
        <v>-2155.3846760687479</v>
      </c>
      <c r="C27" s="6">
        <f>IF(C26&lt;0,B27+C26,B27)</f>
        <v>-4299.3466300861792</v>
      </c>
      <c r="D27" s="6">
        <f t="shared" ref="D27:AE27" si="37">IF(D26&lt;0,C27+D26,C27)</f>
        <v>-6426.8738003590433</v>
      </c>
      <c r="E27" s="6">
        <f t="shared" si="37"/>
        <v>-8537.9578602077599</v>
      </c>
      <c r="F27" s="6">
        <f t="shared" si="37"/>
        <v>-10632.594355336863</v>
      </c>
      <c r="G27" s="6">
        <f t="shared" si="37"/>
        <v>-12710.782845197122</v>
      </c>
      <c r="H27" s="6">
        <f t="shared" si="37"/>
        <v>-14772.527048447966</v>
      </c>
      <c r="I27" s="6">
        <f t="shared" si="37"/>
        <v>-16817.834992631811</v>
      </c>
      <c r="J27" s="6">
        <f t="shared" si="37"/>
        <v>-18846.719168174808</v>
      </c>
      <c r="K27" s="6">
        <f t="shared" si="37"/>
        <v>-20859.196686831572</v>
      </c>
      <c r="L27" s="6">
        <f t="shared" si="37"/>
        <v>-22855.289444694645</v>
      </c>
      <c r="M27" s="6">
        <f t="shared" si="37"/>
        <v>-24835.024289892601</v>
      </c>
      <c r="N27" s="6">
        <f t="shared" si="37"/>
        <v>-26798.433195103986</v>
      </c>
      <c r="O27" s="6">
        <f t="shared" si="37"/>
        <v>-28745.553435017744</v>
      </c>
      <c r="P27" s="6">
        <f t="shared" si="37"/>
        <v>-30676.427768874186</v>
      </c>
      <c r="Q27" s="6">
        <f t="shared" si="37"/>
        <v>-30676.427768874186</v>
      </c>
      <c r="R27" s="6">
        <f t="shared" si="37"/>
        <v>-30676.427768874186</v>
      </c>
      <c r="S27" s="6">
        <f t="shared" si="37"/>
        <v>-30676.427768874186</v>
      </c>
      <c r="T27" s="6">
        <f t="shared" si="37"/>
        <v>-30676.427768874186</v>
      </c>
      <c r="U27" s="6">
        <f t="shared" si="37"/>
        <v>-30676.427768874186</v>
      </c>
      <c r="V27" s="6">
        <f t="shared" si="37"/>
        <v>-30676.427768874186</v>
      </c>
      <c r="W27" s="6">
        <f t="shared" si="37"/>
        <v>-30676.427768874186</v>
      </c>
      <c r="X27" s="6">
        <f t="shared" si="37"/>
        <v>-30676.427768874186</v>
      </c>
      <c r="Y27" s="6">
        <f t="shared" si="37"/>
        <v>-30676.427768874186</v>
      </c>
      <c r="Z27" s="6">
        <f t="shared" si="37"/>
        <v>-30676.427768874186</v>
      </c>
      <c r="AA27" s="6">
        <f t="shared" si="37"/>
        <v>-30676.427768874186</v>
      </c>
      <c r="AB27" s="6">
        <f t="shared" si="37"/>
        <v>-30676.427768874186</v>
      </c>
      <c r="AC27" s="6">
        <f t="shared" si="37"/>
        <v>-30676.427768874186</v>
      </c>
      <c r="AD27" s="6">
        <f t="shared" si="37"/>
        <v>-30676.427768874186</v>
      </c>
      <c r="AE27" s="6">
        <f t="shared" si="37"/>
        <v>-30676.427768874186</v>
      </c>
    </row>
    <row r="28" spans="1:31" x14ac:dyDescent="0.25">
      <c r="A28" t="s">
        <v>53</v>
      </c>
      <c r="B28" s="49">
        <f>B26</f>
        <v>-2155.3846760687479</v>
      </c>
      <c r="C28" s="6">
        <f>B28+C26</f>
        <v>-4299.3466300861792</v>
      </c>
      <c r="D28" s="6">
        <f t="shared" ref="D28:AE28" si="38">C28+D26</f>
        <v>-6426.8738003590433</v>
      </c>
      <c r="E28" s="6">
        <f t="shared" si="38"/>
        <v>-8537.9578602077599</v>
      </c>
      <c r="F28" s="6">
        <f t="shared" si="38"/>
        <v>-10632.594355336863</v>
      </c>
      <c r="G28" s="6">
        <f t="shared" si="38"/>
        <v>-12710.782845197122</v>
      </c>
      <c r="H28" s="6">
        <f t="shared" si="38"/>
        <v>-14772.527048447966</v>
      </c>
      <c r="I28" s="6">
        <f t="shared" si="38"/>
        <v>-16817.834992631811</v>
      </c>
      <c r="J28" s="6">
        <f t="shared" si="38"/>
        <v>-18846.719168174808</v>
      </c>
      <c r="K28" s="6">
        <f t="shared" si="38"/>
        <v>-20859.196686831572</v>
      </c>
      <c r="L28" s="6">
        <f t="shared" si="38"/>
        <v>-22855.289444694645</v>
      </c>
      <c r="M28" s="6">
        <f t="shared" si="38"/>
        <v>-24835.024289892601</v>
      </c>
      <c r="N28" s="6">
        <f t="shared" si="38"/>
        <v>-26798.433195103986</v>
      </c>
      <c r="O28" s="6">
        <f t="shared" si="38"/>
        <v>-28745.553435017744</v>
      </c>
      <c r="P28" s="6">
        <f t="shared" si="38"/>
        <v>-30676.427768874186</v>
      </c>
      <c r="Q28" s="6">
        <f t="shared" si="38"/>
        <v>-27658.939470824254</v>
      </c>
      <c r="R28" s="6">
        <f t="shared" si="38"/>
        <v>-24612.340615879577</v>
      </c>
      <c r="S28" s="6">
        <f t="shared" si="38"/>
        <v>-21536.350366323808</v>
      </c>
      <c r="T28" s="6">
        <f t="shared" si="38"/>
        <v>-18430.685175120296</v>
      </c>
      <c r="U28" s="6">
        <f t="shared" si="38"/>
        <v>-15295.058759774511</v>
      </c>
      <c r="V28" s="6">
        <f t="shared" si="38"/>
        <v>-12129.182075944307</v>
      </c>
      <c r="W28" s="6">
        <f t="shared" si="38"/>
        <v>-8932.7632907956158</v>
      </c>
      <c r="X28" s="6">
        <f t="shared" si="38"/>
        <v>-5705.5077561010712</v>
      </c>
      <c r="Y28" s="6">
        <f t="shared" si="38"/>
        <v>-2447.1179810791236</v>
      </c>
      <c r="Z28" s="6">
        <f t="shared" si="38"/>
        <v>842.70639502887934</v>
      </c>
      <c r="AA28" s="6">
        <f t="shared" si="38"/>
        <v>4164.2686306461674</v>
      </c>
      <c r="AB28" s="6">
        <f t="shared" si="38"/>
        <v>7517.8749098151293</v>
      </c>
      <c r="AC28" s="6">
        <f t="shared" si="38"/>
        <v>10903.834370421588</v>
      </c>
      <c r="AD28" s="6">
        <f t="shared" si="38"/>
        <v>14322.459132691349</v>
      </c>
      <c r="AE28" s="6">
        <f t="shared" si="38"/>
        <v>17774.064327961682</v>
      </c>
    </row>
    <row r="29" spans="1:31" x14ac:dyDescent="0.25">
      <c r="B29" s="49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x14ac:dyDescent="0.25">
      <c r="A30" t="s">
        <v>81</v>
      </c>
      <c r="B30" s="45">
        <v>0</v>
      </c>
      <c r="C30" s="45">
        <f>B30</f>
        <v>0</v>
      </c>
      <c r="D30" s="45">
        <f t="shared" ref="D30:AE30" si="39">C30</f>
        <v>0</v>
      </c>
      <c r="E30" s="45">
        <f t="shared" si="39"/>
        <v>0</v>
      </c>
      <c r="F30" s="45">
        <f t="shared" si="39"/>
        <v>0</v>
      </c>
      <c r="G30" s="45">
        <f t="shared" si="39"/>
        <v>0</v>
      </c>
      <c r="H30" s="45">
        <f t="shared" si="39"/>
        <v>0</v>
      </c>
      <c r="I30" s="45">
        <f t="shared" si="39"/>
        <v>0</v>
      </c>
      <c r="J30" s="45">
        <f t="shared" si="39"/>
        <v>0</v>
      </c>
      <c r="K30" s="45">
        <f t="shared" si="39"/>
        <v>0</v>
      </c>
      <c r="L30" s="45">
        <f t="shared" si="39"/>
        <v>0</v>
      </c>
      <c r="M30" s="45">
        <f t="shared" si="39"/>
        <v>0</v>
      </c>
      <c r="N30" s="45">
        <f t="shared" si="39"/>
        <v>0</v>
      </c>
      <c r="O30" s="45">
        <f t="shared" si="39"/>
        <v>0</v>
      </c>
      <c r="P30" s="45">
        <f t="shared" si="39"/>
        <v>0</v>
      </c>
      <c r="Q30" s="45">
        <f t="shared" si="39"/>
        <v>0</v>
      </c>
      <c r="R30" s="45">
        <f t="shared" si="39"/>
        <v>0</v>
      </c>
      <c r="S30" s="45">
        <f t="shared" si="39"/>
        <v>0</v>
      </c>
      <c r="T30" s="45">
        <f t="shared" si="39"/>
        <v>0</v>
      </c>
      <c r="U30" s="45">
        <f t="shared" si="39"/>
        <v>0</v>
      </c>
      <c r="V30" s="45">
        <f t="shared" si="39"/>
        <v>0</v>
      </c>
      <c r="W30" s="45">
        <f t="shared" si="39"/>
        <v>0</v>
      </c>
      <c r="X30" s="45">
        <f t="shared" si="39"/>
        <v>0</v>
      </c>
      <c r="Y30" s="45">
        <f t="shared" si="39"/>
        <v>0</v>
      </c>
      <c r="Z30" s="45">
        <f t="shared" si="39"/>
        <v>0</v>
      </c>
      <c r="AA30" s="45">
        <f t="shared" si="39"/>
        <v>0</v>
      </c>
      <c r="AB30" s="45">
        <f t="shared" si="39"/>
        <v>0</v>
      </c>
      <c r="AC30" s="45">
        <f t="shared" si="39"/>
        <v>0</v>
      </c>
      <c r="AD30" s="45">
        <f t="shared" si="39"/>
        <v>0</v>
      </c>
      <c r="AE30" s="45">
        <f t="shared" si="39"/>
        <v>0</v>
      </c>
    </row>
    <row r="31" spans="1:31" x14ac:dyDescent="0.25">
      <c r="A31" t="s">
        <v>82</v>
      </c>
      <c r="B31" s="71">
        <f>B30+B12</f>
        <v>58.149779735682763</v>
      </c>
      <c r="C31" s="71">
        <f t="shared" ref="C31:AE31" si="40">C30+C12</f>
        <v>58.149779735682763</v>
      </c>
      <c r="D31" s="71">
        <f t="shared" si="40"/>
        <v>58.149779735682763</v>
      </c>
      <c r="E31" s="71">
        <f t="shared" si="40"/>
        <v>58.149779735682763</v>
      </c>
      <c r="F31" s="71">
        <f t="shared" si="40"/>
        <v>58.149779735682763</v>
      </c>
      <c r="G31" s="71">
        <f t="shared" si="40"/>
        <v>58.149779735682763</v>
      </c>
      <c r="H31" s="71">
        <f t="shared" si="40"/>
        <v>58.149779735682763</v>
      </c>
      <c r="I31" s="71">
        <f t="shared" si="40"/>
        <v>58.149779735682763</v>
      </c>
      <c r="J31" s="71">
        <f t="shared" si="40"/>
        <v>58.149779735682763</v>
      </c>
      <c r="K31" s="71">
        <f t="shared" si="40"/>
        <v>58.149779735682763</v>
      </c>
      <c r="L31" s="71">
        <f t="shared" si="40"/>
        <v>58.149779735682763</v>
      </c>
      <c r="M31" s="71">
        <f t="shared" si="40"/>
        <v>58.149779735682763</v>
      </c>
      <c r="N31" s="71">
        <f t="shared" si="40"/>
        <v>58.149779735682763</v>
      </c>
      <c r="O31" s="71">
        <f t="shared" si="40"/>
        <v>58.149779735682763</v>
      </c>
      <c r="P31" s="71">
        <f t="shared" si="40"/>
        <v>58.149779735682763</v>
      </c>
      <c r="Q31" s="71">
        <f t="shared" si="40"/>
        <v>58.149779735682763</v>
      </c>
      <c r="R31" s="71">
        <f t="shared" si="40"/>
        <v>58.149779735682763</v>
      </c>
      <c r="S31" s="71">
        <f t="shared" si="40"/>
        <v>58.149779735682763</v>
      </c>
      <c r="T31" s="71">
        <f t="shared" si="40"/>
        <v>58.149779735682763</v>
      </c>
      <c r="U31" s="71">
        <f t="shared" si="40"/>
        <v>58.149779735682763</v>
      </c>
      <c r="V31" s="71">
        <f t="shared" si="40"/>
        <v>58.149779735682763</v>
      </c>
      <c r="W31" s="71">
        <f t="shared" si="40"/>
        <v>58.149779735682763</v>
      </c>
      <c r="X31" s="71">
        <f t="shared" si="40"/>
        <v>58.149779735682763</v>
      </c>
      <c r="Y31" s="71">
        <f t="shared" si="40"/>
        <v>58.149779735682763</v>
      </c>
      <c r="Z31" s="71">
        <f t="shared" si="40"/>
        <v>58.149779735682763</v>
      </c>
      <c r="AA31" s="71">
        <f t="shared" si="40"/>
        <v>58.149779735682763</v>
      </c>
      <c r="AB31" s="71">
        <f t="shared" si="40"/>
        <v>58.149779735682763</v>
      </c>
      <c r="AC31" s="71">
        <f t="shared" si="40"/>
        <v>58.149779735682763</v>
      </c>
      <c r="AD31" s="71">
        <f t="shared" si="40"/>
        <v>58.149779735682763</v>
      </c>
      <c r="AE31" s="71">
        <f t="shared" si="40"/>
        <v>58.149779735682763</v>
      </c>
    </row>
    <row r="32" spans="1:31" x14ac:dyDescent="0.25">
      <c r="B32" s="49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x14ac:dyDescent="0.25">
      <c r="B33"/>
      <c r="R33" s="6"/>
      <c r="S33" s="6"/>
      <c r="T33" s="6"/>
      <c r="U33" s="6"/>
    </row>
    <row r="34" spans="1:31" x14ac:dyDescent="0.25">
      <c r="A34" t="s">
        <v>55</v>
      </c>
      <c r="B34" s="1">
        <f>Investissement!Apport-B28</f>
        <v>8155.3846760687484</v>
      </c>
      <c r="C34" s="1">
        <f>Investissement!Apport-C28</f>
        <v>10299.34663008618</v>
      </c>
      <c r="D34" s="1">
        <f>Investissement!Apport-D28</f>
        <v>12426.873800359044</v>
      </c>
      <c r="E34" s="1">
        <f>Investissement!Apport-E28</f>
        <v>14537.95786020776</v>
      </c>
      <c r="F34" s="1">
        <f>Investissement!Apport-F28</f>
        <v>16632.594355336863</v>
      </c>
      <c r="G34" s="1">
        <f>Investissement!Apport-G28</f>
        <v>18710.782845197122</v>
      </c>
      <c r="H34" s="1">
        <f>Investissement!Apport-H28</f>
        <v>20772.527048447966</v>
      </c>
      <c r="I34" s="1">
        <f>Investissement!Apport-I28</f>
        <v>22817.834992631811</v>
      </c>
      <c r="J34" s="1">
        <f>Investissement!Apport-J28</f>
        <v>24846.719168174808</v>
      </c>
      <c r="K34" s="1">
        <f>Investissement!Apport-K28</f>
        <v>26859.196686831572</v>
      </c>
      <c r="L34" s="1">
        <f>Investissement!Apport-L28</f>
        <v>28855.289444694645</v>
      </c>
      <c r="M34" s="1">
        <f>Investissement!Apport-M28</f>
        <v>30835.024289892601</v>
      </c>
      <c r="N34" s="1">
        <f>Investissement!Apport-N28</f>
        <v>32798.433195103986</v>
      </c>
      <c r="O34" s="1">
        <f>Investissement!Apport-O28</f>
        <v>34745.553435017748</v>
      </c>
      <c r="P34" s="1">
        <f>Investissement!Apport-P28</f>
        <v>36676.427768874186</v>
      </c>
      <c r="Q34" s="1">
        <f>Investissement!Apport-Q28</f>
        <v>33658.939470824254</v>
      </c>
      <c r="R34" s="1">
        <f>Investissement!Apport-R28</f>
        <v>30612.340615879577</v>
      </c>
      <c r="S34" s="1">
        <f>Investissement!Apport-S28</f>
        <v>27536.350366323808</v>
      </c>
      <c r="T34" s="1">
        <f>Investissement!Apport-T28</f>
        <v>24430.685175120296</v>
      </c>
      <c r="U34" s="1">
        <f>Investissement!Apport-U28</f>
        <v>21295.058759774511</v>
      </c>
      <c r="V34" s="1">
        <f>Investissement!Apport-V28</f>
        <v>18129.182075944307</v>
      </c>
      <c r="W34" s="1">
        <f>Investissement!Apport-W28</f>
        <v>14932.763290795616</v>
      </c>
      <c r="X34" s="1">
        <f>Investissement!Apport-X28</f>
        <v>11705.507756101071</v>
      </c>
      <c r="Y34" s="1">
        <f>Investissement!Apport-Y28</f>
        <v>8447.1179810791236</v>
      </c>
      <c r="Z34" s="1">
        <f>Investissement!Apport-Z28</f>
        <v>5157.2936049711207</v>
      </c>
      <c r="AA34" s="1">
        <f>Investissement!Apport-AA28</f>
        <v>1835.7313693538326</v>
      </c>
      <c r="AB34" s="1">
        <f>Investissement!Apport-AB28</f>
        <v>-1517.8749098151293</v>
      </c>
      <c r="AC34" s="1">
        <f>Investissement!Apport-AC28</f>
        <v>-4903.8343704215877</v>
      </c>
      <c r="AD34" s="1">
        <f>Investissement!Apport-AD28</f>
        <v>-8322.4591326913487</v>
      </c>
      <c r="AE34" s="1">
        <f>Investissement!Apport-AE28</f>
        <v>-11774.064327961682</v>
      </c>
    </row>
    <row r="35" spans="1:31" x14ac:dyDescent="0.25">
      <c r="Q35" s="6"/>
      <c r="R35" s="6"/>
      <c r="S35" s="6"/>
      <c r="T35" s="6"/>
      <c r="U35" s="6"/>
      <c r="V35" s="6"/>
      <c r="W35" s="6"/>
    </row>
    <row r="36" spans="1:31" x14ac:dyDescent="0.25">
      <c r="A36" t="s">
        <v>52</v>
      </c>
      <c r="B36" s="1">
        <f>B11*B31</f>
        <v>58949.624866023587</v>
      </c>
      <c r="C36" s="1">
        <f t="shared" ref="C36:AE36" si="41">C11*C31</f>
        <v>59518.32844962833</v>
      </c>
      <c r="D36" s="1">
        <f t="shared" si="41"/>
        <v>60092.518476390942</v>
      </c>
      <c r="E36" s="1">
        <f t="shared" si="41"/>
        <v>60672.247875569105</v>
      </c>
      <c r="F36" s="1">
        <f t="shared" si="41"/>
        <v>61257.57008704391</v>
      </c>
      <c r="G36" s="1">
        <f t="shared" si="41"/>
        <v>61848.53906624602</v>
      </c>
      <c r="H36" s="1">
        <f t="shared" si="41"/>
        <v>62445.209289129234</v>
      </c>
      <c r="I36" s="1">
        <f t="shared" si="41"/>
        <v>63047.635757192205</v>
      </c>
      <c r="J36" s="1">
        <f t="shared" si="41"/>
        <v>63655.874002548509</v>
      </c>
      <c r="K36" s="1">
        <f t="shared" si="41"/>
        <v>64269.98009304556</v>
      </c>
      <c r="L36" s="1">
        <f t="shared" si="41"/>
        <v>64890.010637433079</v>
      </c>
      <c r="M36" s="1">
        <f t="shared" si="41"/>
        <v>65516.022790581286</v>
      </c>
      <c r="N36" s="1">
        <f t="shared" si="41"/>
        <v>66148.074258749461</v>
      </c>
      <c r="O36" s="1">
        <f t="shared" si="41"/>
        <v>66786.223304905405</v>
      </c>
      <c r="P36" s="1">
        <f t="shared" si="41"/>
        <v>67430.5287540961</v>
      </c>
      <c r="Q36" s="1">
        <f t="shared" si="41"/>
        <v>68081.049998870294</v>
      </c>
      <c r="R36" s="1">
        <f t="shared" si="41"/>
        <v>68737.847004753305</v>
      </c>
      <c r="S36" s="1">
        <f t="shared" si="41"/>
        <v>69400.980315774752</v>
      </c>
      <c r="T36" s="1">
        <f t="shared" si="41"/>
        <v>70070.511060049452</v>
      </c>
      <c r="U36" s="1">
        <f t="shared" si="41"/>
        <v>70746.500955412354</v>
      </c>
      <c r="V36" s="1">
        <f t="shared" si="41"/>
        <v>71429.012315107699</v>
      </c>
      <c r="W36" s="1">
        <f t="shared" si="41"/>
        <v>72118.10805353304</v>
      </c>
      <c r="X36" s="1">
        <f t="shared" si="41"/>
        <v>72813.851692038821</v>
      </c>
      <c r="Y36" s="1">
        <f t="shared" si="41"/>
        <v>73516.307364783817</v>
      </c>
      <c r="Z36" s="1">
        <f t="shared" si="41"/>
        <v>74225.53982464697</v>
      </c>
      <c r="AA36" s="1">
        <f t="shared" si="41"/>
        <v>74941.61444919651</v>
      </c>
      <c r="AB36" s="1">
        <f t="shared" si="41"/>
        <v>75664.597246716352</v>
      </c>
      <c r="AC36" s="1">
        <f t="shared" si="41"/>
        <v>76394.554862290912</v>
      </c>
      <c r="AD36" s="1">
        <f t="shared" si="41"/>
        <v>77131.554583948411</v>
      </c>
      <c r="AE36" s="1">
        <f t="shared" si="41"/>
        <v>77875.664348863633</v>
      </c>
    </row>
    <row r="37" spans="1:31" x14ac:dyDescent="0.25">
      <c r="A37" t="s">
        <v>62</v>
      </c>
      <c r="B37" s="1">
        <f>IF(B36-B13&lt;0,0,B36-B13)</f>
        <v>0</v>
      </c>
      <c r="C37" s="1">
        <f t="shared" ref="C37:AE37" si="42">IF(C36-C13&lt;0,0,C36-C13)</f>
        <v>0</v>
      </c>
      <c r="D37" s="1">
        <f t="shared" si="42"/>
        <v>0</v>
      </c>
      <c r="E37" s="1">
        <f t="shared" si="42"/>
        <v>0</v>
      </c>
      <c r="F37" s="1">
        <f t="shared" si="42"/>
        <v>0</v>
      </c>
      <c r="G37" s="1">
        <f t="shared" si="42"/>
        <v>0</v>
      </c>
      <c r="H37" s="1">
        <f t="shared" si="42"/>
        <v>0</v>
      </c>
      <c r="I37" s="1">
        <f t="shared" si="42"/>
        <v>0</v>
      </c>
      <c r="J37" s="1">
        <f t="shared" si="42"/>
        <v>0</v>
      </c>
      <c r="K37" s="1">
        <f t="shared" si="42"/>
        <v>0</v>
      </c>
      <c r="L37" s="1">
        <f t="shared" si="42"/>
        <v>0</v>
      </c>
      <c r="M37" s="1">
        <f t="shared" si="42"/>
        <v>0</v>
      </c>
      <c r="N37" s="1">
        <f t="shared" si="42"/>
        <v>0</v>
      </c>
      <c r="O37" s="1">
        <f t="shared" si="42"/>
        <v>0</v>
      </c>
      <c r="P37" s="1">
        <f t="shared" si="42"/>
        <v>0</v>
      </c>
      <c r="Q37" s="1">
        <f t="shared" si="42"/>
        <v>0</v>
      </c>
      <c r="R37" s="1">
        <f t="shared" si="42"/>
        <v>0</v>
      </c>
      <c r="S37" s="1">
        <f t="shared" si="42"/>
        <v>0</v>
      </c>
      <c r="T37" s="1">
        <f t="shared" si="42"/>
        <v>0</v>
      </c>
      <c r="U37" s="1">
        <f t="shared" si="42"/>
        <v>0</v>
      </c>
      <c r="V37" s="1">
        <f t="shared" si="42"/>
        <v>0</v>
      </c>
      <c r="W37" s="1">
        <f t="shared" si="42"/>
        <v>0</v>
      </c>
      <c r="X37" s="1">
        <f t="shared" si="42"/>
        <v>0</v>
      </c>
      <c r="Y37" s="1">
        <f t="shared" si="42"/>
        <v>0</v>
      </c>
      <c r="Z37" s="1">
        <f t="shared" si="42"/>
        <v>0</v>
      </c>
      <c r="AA37" s="1">
        <f t="shared" si="42"/>
        <v>0</v>
      </c>
      <c r="AB37" s="1">
        <f t="shared" si="42"/>
        <v>0</v>
      </c>
      <c r="AC37" s="1">
        <f t="shared" si="42"/>
        <v>0</v>
      </c>
      <c r="AD37" s="1">
        <f t="shared" si="42"/>
        <v>0</v>
      </c>
      <c r="AE37" s="1">
        <f t="shared" si="42"/>
        <v>0</v>
      </c>
    </row>
    <row r="38" spans="1:31" x14ac:dyDescent="0.25">
      <c r="A38" t="s">
        <v>63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f>-6%*Valeur_initiale</f>
        <v>-3960</v>
      </c>
      <c r="H38" s="1">
        <f t="shared" ref="H38:V38" si="43">-6%*Valeur_initiale+G38</f>
        <v>-7920</v>
      </c>
      <c r="I38" s="1">
        <f t="shared" si="43"/>
        <v>-11880</v>
      </c>
      <c r="J38" s="1">
        <f t="shared" si="43"/>
        <v>-15840</v>
      </c>
      <c r="K38" s="1">
        <f t="shared" si="43"/>
        <v>-19800</v>
      </c>
      <c r="L38" s="1">
        <f t="shared" si="43"/>
        <v>-23760</v>
      </c>
      <c r="M38" s="1">
        <f t="shared" si="43"/>
        <v>-27720</v>
      </c>
      <c r="N38" s="1">
        <f t="shared" si="43"/>
        <v>-31680</v>
      </c>
      <c r="O38" s="1">
        <f t="shared" si="43"/>
        <v>-35640</v>
      </c>
      <c r="P38" s="1">
        <f t="shared" si="43"/>
        <v>-39600</v>
      </c>
      <c r="Q38" s="1">
        <f t="shared" si="43"/>
        <v>-43560</v>
      </c>
      <c r="R38" s="1">
        <f t="shared" si="43"/>
        <v>-47520</v>
      </c>
      <c r="S38" s="1">
        <f t="shared" si="43"/>
        <v>-51480</v>
      </c>
      <c r="T38" s="1">
        <f t="shared" si="43"/>
        <v>-55440</v>
      </c>
      <c r="U38" s="1">
        <f t="shared" si="43"/>
        <v>-59400</v>
      </c>
      <c r="V38" s="1">
        <f t="shared" si="43"/>
        <v>-63360</v>
      </c>
      <c r="W38" s="1">
        <f>-4%*Valeur_initiale+V38</f>
        <v>-66000</v>
      </c>
      <c r="X38" s="1">
        <f>W38</f>
        <v>-66000</v>
      </c>
      <c r="Y38" s="1">
        <f t="shared" ref="Y38:Z38" si="44">X38</f>
        <v>-66000</v>
      </c>
      <c r="Z38" s="1">
        <f t="shared" si="44"/>
        <v>-66000</v>
      </c>
      <c r="AA38" s="1">
        <f t="shared" ref="AA38" si="45">Z38</f>
        <v>-66000</v>
      </c>
      <c r="AB38" s="1">
        <f t="shared" ref="AB38" si="46">AA38</f>
        <v>-66000</v>
      </c>
      <c r="AC38" s="1">
        <f t="shared" ref="AC38" si="47">AB38</f>
        <v>-66000</v>
      </c>
      <c r="AD38" s="1">
        <f t="shared" ref="AD38" si="48">AC38</f>
        <v>-66000</v>
      </c>
      <c r="AE38" s="1">
        <f t="shared" ref="AE38" si="49">AD38</f>
        <v>-66000</v>
      </c>
    </row>
    <row r="39" spans="1:31" x14ac:dyDescent="0.25">
      <c r="A39" t="s">
        <v>64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f>-1.6%*Valeur_initiale</f>
        <v>-1056</v>
      </c>
      <c r="H39" s="1">
        <f t="shared" ref="H39:V39" si="50">-1.6%*Valeur_initiale+G39</f>
        <v>-2112</v>
      </c>
      <c r="I39" s="1">
        <f t="shared" si="50"/>
        <v>-3168</v>
      </c>
      <c r="J39" s="1">
        <f t="shared" si="50"/>
        <v>-4224</v>
      </c>
      <c r="K39" s="1">
        <f t="shared" si="50"/>
        <v>-5280</v>
      </c>
      <c r="L39" s="1">
        <f t="shared" si="50"/>
        <v>-6336</v>
      </c>
      <c r="M39" s="1">
        <f t="shared" si="50"/>
        <v>-7392</v>
      </c>
      <c r="N39" s="1">
        <f t="shared" si="50"/>
        <v>-8448</v>
      </c>
      <c r="O39" s="1">
        <f t="shared" si="50"/>
        <v>-9504</v>
      </c>
      <c r="P39" s="1">
        <f t="shared" si="50"/>
        <v>-10560</v>
      </c>
      <c r="Q39" s="1">
        <f t="shared" si="50"/>
        <v>-11616</v>
      </c>
      <c r="R39" s="1">
        <f t="shared" si="50"/>
        <v>-12672</v>
      </c>
      <c r="S39" s="1">
        <f t="shared" si="50"/>
        <v>-13728</v>
      </c>
      <c r="T39" s="1">
        <f t="shared" si="50"/>
        <v>-14784</v>
      </c>
      <c r="U39" s="1">
        <f t="shared" si="50"/>
        <v>-15840</v>
      </c>
      <c r="V39" s="1">
        <f t="shared" si="50"/>
        <v>-16896</v>
      </c>
      <c r="W39" s="1">
        <f t="shared" ref="W39:AE39" si="51">-9%*Valeur_initiale+V39</f>
        <v>-22836</v>
      </c>
      <c r="X39" s="1">
        <f t="shared" si="51"/>
        <v>-28776</v>
      </c>
      <c r="Y39" s="1">
        <f t="shared" si="51"/>
        <v>-34716</v>
      </c>
      <c r="Z39" s="1">
        <f t="shared" si="51"/>
        <v>-40656</v>
      </c>
      <c r="AA39" s="1">
        <f t="shared" si="51"/>
        <v>-46596</v>
      </c>
      <c r="AB39" s="1">
        <f t="shared" si="51"/>
        <v>-52536</v>
      </c>
      <c r="AC39" s="1">
        <f t="shared" si="51"/>
        <v>-58476</v>
      </c>
      <c r="AD39" s="1">
        <f t="shared" si="51"/>
        <v>-64416</v>
      </c>
      <c r="AE39" s="1">
        <f t="shared" si="51"/>
        <v>-70356</v>
      </c>
    </row>
    <row r="40" spans="1:31" x14ac:dyDescent="0.25">
      <c r="A40" t="s">
        <v>65</v>
      </c>
      <c r="B40" s="1">
        <f>IF(B37+B38&lt;0,0,(B37+B38)*19%)</f>
        <v>0</v>
      </c>
      <c r="C40" s="1">
        <f t="shared" ref="C40:Z40" si="52">IF(C37+C38&lt;0,0,(C37+C38)*19%)</f>
        <v>0</v>
      </c>
      <c r="D40" s="1">
        <f t="shared" si="52"/>
        <v>0</v>
      </c>
      <c r="E40" s="1">
        <f t="shared" si="52"/>
        <v>0</v>
      </c>
      <c r="F40" s="1">
        <f t="shared" si="52"/>
        <v>0</v>
      </c>
      <c r="G40" s="1">
        <f t="shared" si="52"/>
        <v>0</v>
      </c>
      <c r="H40" s="1">
        <f t="shared" si="52"/>
        <v>0</v>
      </c>
      <c r="I40" s="1">
        <f t="shared" si="52"/>
        <v>0</v>
      </c>
      <c r="J40" s="1">
        <f t="shared" si="52"/>
        <v>0</v>
      </c>
      <c r="K40" s="1">
        <f t="shared" si="52"/>
        <v>0</v>
      </c>
      <c r="L40" s="1">
        <f t="shared" si="52"/>
        <v>0</v>
      </c>
      <c r="M40" s="1">
        <f t="shared" si="52"/>
        <v>0</v>
      </c>
      <c r="N40" s="1">
        <f t="shared" si="52"/>
        <v>0</v>
      </c>
      <c r="O40" s="1">
        <f t="shared" si="52"/>
        <v>0</v>
      </c>
      <c r="P40" s="1">
        <f t="shared" si="52"/>
        <v>0</v>
      </c>
      <c r="Q40" s="1">
        <f t="shared" si="52"/>
        <v>0</v>
      </c>
      <c r="R40" s="1">
        <f t="shared" si="52"/>
        <v>0</v>
      </c>
      <c r="S40" s="1">
        <f t="shared" si="52"/>
        <v>0</v>
      </c>
      <c r="T40" s="1">
        <f t="shared" si="52"/>
        <v>0</v>
      </c>
      <c r="U40" s="1">
        <f t="shared" si="52"/>
        <v>0</v>
      </c>
      <c r="V40" s="1">
        <f t="shared" si="52"/>
        <v>0</v>
      </c>
      <c r="W40" s="1">
        <f t="shared" si="52"/>
        <v>0</v>
      </c>
      <c r="X40" s="1">
        <f t="shared" si="52"/>
        <v>0</v>
      </c>
      <c r="Y40" s="1">
        <f t="shared" si="52"/>
        <v>0</v>
      </c>
      <c r="Z40" s="1">
        <f t="shared" si="52"/>
        <v>0</v>
      </c>
      <c r="AA40" s="1">
        <f t="shared" ref="AA40:AE40" si="53">IF(AA37+AA38&lt;0,0,(AA37+AA38)*19%)</f>
        <v>0</v>
      </c>
      <c r="AB40" s="1">
        <f t="shared" si="53"/>
        <v>0</v>
      </c>
      <c r="AC40" s="1">
        <f t="shared" si="53"/>
        <v>0</v>
      </c>
      <c r="AD40" s="1">
        <f t="shared" si="53"/>
        <v>0</v>
      </c>
      <c r="AE40" s="1">
        <f t="shared" si="53"/>
        <v>0</v>
      </c>
    </row>
    <row r="41" spans="1:31" x14ac:dyDescent="0.25">
      <c r="A41" t="s">
        <v>66</v>
      </c>
      <c r="B41" s="1">
        <f>IF(B37-B39&lt;0,0,(B37-B39)*17.2%)</f>
        <v>0</v>
      </c>
      <c r="C41" s="1">
        <f t="shared" ref="C41:Z41" si="54">IF(C37-C39&lt;0,0,(C37-C39)*17.2%)</f>
        <v>0</v>
      </c>
      <c r="D41" s="1">
        <f t="shared" si="54"/>
        <v>0</v>
      </c>
      <c r="E41" s="1">
        <f t="shared" si="54"/>
        <v>0</v>
      </c>
      <c r="F41" s="1">
        <f t="shared" si="54"/>
        <v>0</v>
      </c>
      <c r="G41" s="1">
        <f t="shared" si="54"/>
        <v>181.63199999999998</v>
      </c>
      <c r="H41" s="1">
        <f t="shared" si="54"/>
        <v>363.26399999999995</v>
      </c>
      <c r="I41" s="1">
        <f t="shared" si="54"/>
        <v>544.89599999999996</v>
      </c>
      <c r="J41" s="1">
        <f t="shared" si="54"/>
        <v>726.52799999999991</v>
      </c>
      <c r="K41" s="1">
        <f t="shared" si="54"/>
        <v>908.16</v>
      </c>
      <c r="L41" s="1">
        <f t="shared" si="54"/>
        <v>1089.7919999999999</v>
      </c>
      <c r="M41" s="1">
        <f t="shared" si="54"/>
        <v>1271.424</v>
      </c>
      <c r="N41" s="1">
        <f t="shared" si="54"/>
        <v>1453.0559999999998</v>
      </c>
      <c r="O41" s="1">
        <f t="shared" si="54"/>
        <v>1634.6879999999999</v>
      </c>
      <c r="P41" s="1">
        <f t="shared" si="54"/>
        <v>1816.32</v>
      </c>
      <c r="Q41" s="1">
        <f t="shared" si="54"/>
        <v>1997.9519999999998</v>
      </c>
      <c r="R41" s="1">
        <f t="shared" si="54"/>
        <v>2179.5839999999998</v>
      </c>
      <c r="S41" s="1">
        <f t="shared" si="54"/>
        <v>2361.2159999999999</v>
      </c>
      <c r="T41" s="1">
        <f t="shared" si="54"/>
        <v>2542.848</v>
      </c>
      <c r="U41" s="1">
        <f t="shared" si="54"/>
        <v>2724.4799999999996</v>
      </c>
      <c r="V41" s="1">
        <f t="shared" si="54"/>
        <v>2906.1119999999996</v>
      </c>
      <c r="W41" s="1">
        <f t="shared" si="54"/>
        <v>3927.7919999999995</v>
      </c>
      <c r="X41" s="1">
        <f t="shared" si="54"/>
        <v>4949.4719999999998</v>
      </c>
      <c r="Y41" s="1">
        <f t="shared" si="54"/>
        <v>5971.1519999999991</v>
      </c>
      <c r="Z41" s="1">
        <f t="shared" si="54"/>
        <v>6992.8319999999994</v>
      </c>
      <c r="AA41" s="1">
        <f t="shared" ref="AA41:AE41" si="55">IF(AA37-AA39&lt;0,0,(AA37-AA39)*17.2%)</f>
        <v>8014.5119999999997</v>
      </c>
      <c r="AB41" s="1">
        <f t="shared" si="55"/>
        <v>9036.1919999999991</v>
      </c>
      <c r="AC41" s="1">
        <f t="shared" si="55"/>
        <v>10057.871999999999</v>
      </c>
      <c r="AD41" s="1">
        <f t="shared" si="55"/>
        <v>11079.552</v>
      </c>
      <c r="AE41" s="1">
        <f t="shared" si="55"/>
        <v>12101.231999999998</v>
      </c>
    </row>
    <row r="42" spans="1:31" x14ac:dyDescent="0.25">
      <c r="A42" t="s">
        <v>67</v>
      </c>
      <c r="B42" s="1">
        <f>B40+B41</f>
        <v>0</v>
      </c>
      <c r="C42" s="1">
        <f t="shared" ref="C42:Z42" si="56">C40+C41</f>
        <v>0</v>
      </c>
      <c r="D42" s="1">
        <f t="shared" si="56"/>
        <v>0</v>
      </c>
      <c r="E42" s="1">
        <f t="shared" si="56"/>
        <v>0</v>
      </c>
      <c r="F42" s="1">
        <f t="shared" si="56"/>
        <v>0</v>
      </c>
      <c r="G42" s="1">
        <f t="shared" si="56"/>
        <v>181.63199999999998</v>
      </c>
      <c r="H42" s="1">
        <f t="shared" si="56"/>
        <v>363.26399999999995</v>
      </c>
      <c r="I42" s="1">
        <f t="shared" si="56"/>
        <v>544.89599999999996</v>
      </c>
      <c r="J42" s="1">
        <f t="shared" si="56"/>
        <v>726.52799999999991</v>
      </c>
      <c r="K42" s="1">
        <f t="shared" si="56"/>
        <v>908.16</v>
      </c>
      <c r="L42" s="1">
        <f t="shared" si="56"/>
        <v>1089.7919999999999</v>
      </c>
      <c r="M42" s="1">
        <f t="shared" si="56"/>
        <v>1271.424</v>
      </c>
      <c r="N42" s="1">
        <f t="shared" si="56"/>
        <v>1453.0559999999998</v>
      </c>
      <c r="O42" s="1">
        <f t="shared" si="56"/>
        <v>1634.6879999999999</v>
      </c>
      <c r="P42" s="1">
        <f t="shared" si="56"/>
        <v>1816.32</v>
      </c>
      <c r="Q42" s="1">
        <f t="shared" si="56"/>
        <v>1997.9519999999998</v>
      </c>
      <c r="R42" s="1">
        <f t="shared" si="56"/>
        <v>2179.5839999999998</v>
      </c>
      <c r="S42" s="1">
        <f t="shared" si="56"/>
        <v>2361.2159999999999</v>
      </c>
      <c r="T42" s="1">
        <f t="shared" si="56"/>
        <v>2542.848</v>
      </c>
      <c r="U42" s="1">
        <f t="shared" si="56"/>
        <v>2724.4799999999996</v>
      </c>
      <c r="V42" s="1">
        <f t="shared" si="56"/>
        <v>2906.1119999999996</v>
      </c>
      <c r="W42" s="1">
        <f t="shared" si="56"/>
        <v>3927.7919999999995</v>
      </c>
      <c r="X42" s="1">
        <f t="shared" si="56"/>
        <v>4949.4719999999998</v>
      </c>
      <c r="Y42" s="1">
        <f t="shared" si="56"/>
        <v>5971.1519999999991</v>
      </c>
      <c r="Z42" s="1">
        <f t="shared" si="56"/>
        <v>6992.8319999999994</v>
      </c>
      <c r="AA42" s="1">
        <f t="shared" ref="AA42:AE42" si="57">AA40+AA41</f>
        <v>8014.5119999999997</v>
      </c>
      <c r="AB42" s="1">
        <f t="shared" si="57"/>
        <v>9036.1919999999991</v>
      </c>
      <c r="AC42" s="1">
        <f t="shared" si="57"/>
        <v>10057.871999999999</v>
      </c>
      <c r="AD42" s="1">
        <f t="shared" si="57"/>
        <v>11079.552</v>
      </c>
      <c r="AE42" s="1">
        <f t="shared" si="57"/>
        <v>12101.231999999998</v>
      </c>
    </row>
    <row r="43" spans="1:31" x14ac:dyDescent="0.25">
      <c r="A43" t="s">
        <v>54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</row>
    <row r="44" spans="1:31" x14ac:dyDescent="0.25">
      <c r="A44" t="s">
        <v>56</v>
      </c>
      <c r="B44" s="1">
        <f>B36-B42-Investissement!B11</f>
        <v>1984.3034157509464</v>
      </c>
      <c r="C44" s="1">
        <f>C36-C42-Investissement!C11</f>
        <v>5947.0135031582977</v>
      </c>
      <c r="D44" s="1">
        <f>D36-D42-Investissement!D11</f>
        <v>10004.513411041808</v>
      </c>
      <c r="E44" s="1">
        <f>E36-E42-Investissement!E11</f>
        <v>14159.205826442929</v>
      </c>
      <c r="F44" s="1">
        <f>F36-F42-Investissement!F11</f>
        <v>18413.555774045963</v>
      </c>
      <c r="G44" s="1">
        <f>G36-G42-Investissement!G11</f>
        <v>22588.460247901632</v>
      </c>
      <c r="H44" s="1">
        <f>H36-H42-Investissement!H11</f>
        <v>26868.145886003025</v>
      </c>
      <c r="I44" s="1">
        <f>I36-I42-Investissement!I11</f>
        <v>31255.274688839825</v>
      </c>
      <c r="J44" s="1">
        <f>J36-J42-Investissement!J11</f>
        <v>35752.577783087705</v>
      </c>
      <c r="K44" s="1">
        <f>K36-K42-Investissement!K11</f>
        <v>40362.857231619637</v>
      </c>
      <c r="L44" s="1">
        <f>L36-L42-Investissement!L11</f>
        <v>45088.987891057048</v>
      </c>
      <c r="M44" s="1">
        <f>M36-M42-Investissement!M11</f>
        <v>49933.919318110922</v>
      </c>
      <c r="N44" s="1">
        <f>N36-N42-Investissement!N11</f>
        <v>54900.677725995643</v>
      </c>
      <c r="O44" s="1">
        <f>O36-O42-Investissement!O11</f>
        <v>59992.367992232299</v>
      </c>
      <c r="P44" s="1">
        <f>P36-P42-Investissement!P11</f>
        <v>65212.175719193125</v>
      </c>
      <c r="Q44" s="1">
        <f>Q36-Q42-Investissement!Q11</f>
        <v>66083.097998870289</v>
      </c>
      <c r="R44" s="1">
        <f>R36-R42-Investissement!R11</f>
        <v>66558.263004753302</v>
      </c>
      <c r="S44" s="1">
        <f>S36-S42-Investissement!S11</f>
        <v>67039.764315774752</v>
      </c>
      <c r="T44" s="1">
        <f>T36-T42-Investissement!T11</f>
        <v>67527.663060049454</v>
      </c>
      <c r="U44" s="1">
        <f>U36-U42-Investissement!U11</f>
        <v>68022.020955412358</v>
      </c>
      <c r="V44" s="1">
        <f>V36-V42-Investissement!V11</f>
        <v>68522.900315107705</v>
      </c>
      <c r="W44" s="1">
        <f>W36-W42-Investissement!W11</f>
        <v>68190.316053533039</v>
      </c>
      <c r="X44" s="1">
        <f>X36-X42-Investissement!X11</f>
        <v>67864.379692038827</v>
      </c>
      <c r="Y44" s="1">
        <f>Y36-Y42-Investissement!Y11</f>
        <v>67545.155364783815</v>
      </c>
      <c r="Z44" s="1">
        <f>Z36-Z42-Investissement!Z11</f>
        <v>67232.707824646975</v>
      </c>
      <c r="AA44" s="1">
        <f>AA36-AA42-Investissement!AA11</f>
        <v>66927.102449196507</v>
      </c>
      <c r="AB44" s="1">
        <f>AB36-AB42-Investissement!AB11</f>
        <v>66628.405246716356</v>
      </c>
      <c r="AC44" s="1">
        <f>AC36-AC42-Investissement!AC11</f>
        <v>66336.682862290909</v>
      </c>
      <c r="AD44" s="1">
        <f>AD36-AD42-Investissement!AD11</f>
        <v>66052.002583948415</v>
      </c>
      <c r="AE44" s="1">
        <f>AE36-AE42-Investissement!AE11</f>
        <v>65774.432348863629</v>
      </c>
    </row>
    <row r="45" spans="1:31" x14ac:dyDescent="0.25">
      <c r="A45" t="s">
        <v>57</v>
      </c>
      <c r="B45" s="1">
        <f>B44-B34</f>
        <v>-6171.0812603178019</v>
      </c>
      <c r="C45" s="1">
        <f t="shared" ref="C45:AE45" si="58">C44-C34</f>
        <v>-4352.3331269278824</v>
      </c>
      <c r="D45" s="1">
        <f t="shared" si="58"/>
        <v>-2422.3603893172367</v>
      </c>
      <c r="E45" s="1">
        <f t="shared" si="58"/>
        <v>-378.75203376483114</v>
      </c>
      <c r="F45" s="1">
        <f t="shared" si="58"/>
        <v>1780.9614187090992</v>
      </c>
      <c r="G45" s="1">
        <f t="shared" si="58"/>
        <v>3877.6774027045103</v>
      </c>
      <c r="H45" s="1">
        <f t="shared" si="58"/>
        <v>6095.6188375550591</v>
      </c>
      <c r="I45" s="1">
        <f t="shared" si="58"/>
        <v>8437.4396962080136</v>
      </c>
      <c r="J45" s="1">
        <f t="shared" si="58"/>
        <v>10905.858614912897</v>
      </c>
      <c r="K45" s="1">
        <f t="shared" si="58"/>
        <v>13503.660544788065</v>
      </c>
      <c r="L45" s="1">
        <f t="shared" si="58"/>
        <v>16233.698446362403</v>
      </c>
      <c r="M45" s="1">
        <f t="shared" si="58"/>
        <v>19098.895028218321</v>
      </c>
      <c r="N45" s="1">
        <f t="shared" si="58"/>
        <v>22102.244530891658</v>
      </c>
      <c r="O45" s="1">
        <f t="shared" si="58"/>
        <v>25246.814557214551</v>
      </c>
      <c r="P45" s="1">
        <f t="shared" si="58"/>
        <v>28535.747950318939</v>
      </c>
      <c r="Q45" s="1">
        <f t="shared" si="58"/>
        <v>32424.158528046035</v>
      </c>
      <c r="R45" s="1">
        <f t="shared" si="58"/>
        <v>35945.922388873725</v>
      </c>
      <c r="S45" s="1">
        <f t="shared" si="58"/>
        <v>39503.413949450944</v>
      </c>
      <c r="T45" s="1">
        <f t="shared" si="58"/>
        <v>43096.977884929162</v>
      </c>
      <c r="U45" s="1">
        <f t="shared" si="58"/>
        <v>46726.962195637847</v>
      </c>
      <c r="V45" s="1">
        <f t="shared" si="58"/>
        <v>50393.718239163398</v>
      </c>
      <c r="W45" s="1">
        <f t="shared" si="58"/>
        <v>53257.552762737425</v>
      </c>
      <c r="X45" s="1">
        <f t="shared" si="58"/>
        <v>56158.871935937757</v>
      </c>
      <c r="Y45" s="1">
        <f t="shared" si="58"/>
        <v>59098.037383704694</v>
      </c>
      <c r="Z45" s="1">
        <f t="shared" si="58"/>
        <v>62075.414219675855</v>
      </c>
      <c r="AA45" s="1">
        <f t="shared" si="58"/>
        <v>65091.371079842676</v>
      </c>
      <c r="AB45" s="1">
        <f t="shared" si="58"/>
        <v>68146.280156531488</v>
      </c>
      <c r="AC45" s="1">
        <f t="shared" si="58"/>
        <v>71240.517232712504</v>
      </c>
      <c r="AD45" s="1">
        <f t="shared" si="58"/>
        <v>74374.461716639766</v>
      </c>
      <c r="AE45" s="1">
        <f t="shared" si="58"/>
        <v>77548.496676825307</v>
      </c>
    </row>
    <row r="46" spans="1:31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</sheetData>
  <dataConsolidate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2F89D-C472-4D11-9DAA-6614F763AD27}">
  <dimension ref="A1:AE46"/>
  <sheetViews>
    <sheetView workbookViewId="0">
      <selection activeCell="A16" sqref="A16"/>
    </sheetView>
  </sheetViews>
  <sheetFormatPr baseColWidth="10" defaultColWidth="8.85546875" defaultRowHeight="15" x14ac:dyDescent="0.25"/>
  <cols>
    <col min="1" max="1" width="39.140625" bestFit="1" customWidth="1"/>
    <col min="2" max="2" width="9.7109375" style="1" customWidth="1"/>
    <col min="3" max="24" width="9.7109375" customWidth="1"/>
    <col min="25" max="31" width="10.5703125" bestFit="1" customWidth="1"/>
  </cols>
  <sheetData>
    <row r="1" spans="1:31" ht="15.75" thickBot="1" x14ac:dyDescent="0.3">
      <c r="A1" t="s">
        <v>79</v>
      </c>
      <c r="C1" t="str">
        <f>_xlfn.CONCAT("SCPI comptant Reinvest")</f>
        <v>SCPI comptant Reinvest</v>
      </c>
    </row>
    <row r="2" spans="1:31" x14ac:dyDescent="0.25">
      <c r="A2" t="s">
        <v>35</v>
      </c>
      <c r="B2" s="47">
        <v>0.1196</v>
      </c>
      <c r="E2" s="50"/>
      <c r="F2" s="51"/>
      <c r="G2" s="51"/>
      <c r="H2" s="52">
        <v>2012</v>
      </c>
      <c r="I2" s="52">
        <f>H2+1</f>
        <v>2013</v>
      </c>
      <c r="J2" s="52">
        <f t="shared" ref="J2:Q2" si="0">I2+1</f>
        <v>2014</v>
      </c>
      <c r="K2" s="52">
        <f t="shared" si="0"/>
        <v>2015</v>
      </c>
      <c r="L2" s="52">
        <f t="shared" si="0"/>
        <v>2016</v>
      </c>
      <c r="M2" s="52">
        <f t="shared" si="0"/>
        <v>2017</v>
      </c>
      <c r="N2" s="52">
        <f t="shared" si="0"/>
        <v>2018</v>
      </c>
      <c r="O2" s="52">
        <f t="shared" si="0"/>
        <v>2019</v>
      </c>
      <c r="P2" s="52">
        <f t="shared" si="0"/>
        <v>2020</v>
      </c>
      <c r="Q2" s="52">
        <f t="shared" si="0"/>
        <v>2021</v>
      </c>
      <c r="R2" s="51"/>
      <c r="S2" s="53"/>
    </row>
    <row r="3" spans="1:31" x14ac:dyDescent="0.25">
      <c r="A3" t="s">
        <v>36</v>
      </c>
      <c r="B3" s="1">
        <v>1013.7549124687399</v>
      </c>
      <c r="E3" s="54"/>
      <c r="F3" s="55"/>
      <c r="G3" s="56" t="s">
        <v>40</v>
      </c>
      <c r="H3" s="57">
        <v>1000</v>
      </c>
      <c r="I3" s="55">
        <v>1020</v>
      </c>
      <c r="J3" s="55">
        <v>1030</v>
      </c>
      <c r="K3" s="55">
        <v>1045</v>
      </c>
      <c r="L3" s="55">
        <v>1060</v>
      </c>
      <c r="M3" s="55">
        <v>1060</v>
      </c>
      <c r="N3" s="55">
        <v>1075</v>
      </c>
      <c r="O3" s="55">
        <v>1090</v>
      </c>
      <c r="P3" s="55">
        <v>1090</v>
      </c>
      <c r="Q3" s="55">
        <v>1090</v>
      </c>
      <c r="R3" s="55"/>
      <c r="S3" s="58" t="s">
        <v>39</v>
      </c>
    </row>
    <row r="4" spans="1:31" ht="15.75" thickBot="1" x14ac:dyDescent="0.3">
      <c r="A4" t="s">
        <v>37</v>
      </c>
      <c r="B4" s="1">
        <f>B3*(1+B2)</f>
        <v>1135.0000000000011</v>
      </c>
      <c r="E4" s="59"/>
      <c r="F4" s="60"/>
      <c r="G4" s="60"/>
      <c r="H4" s="61"/>
      <c r="I4" s="62">
        <f>(I3-H3)/H3</f>
        <v>0.02</v>
      </c>
      <c r="J4" s="62">
        <f t="shared" ref="J4:Q4" si="1">(J3-I3)/I3</f>
        <v>9.8039215686274508E-3</v>
      </c>
      <c r="K4" s="62">
        <f t="shared" si="1"/>
        <v>1.4563106796116505E-2</v>
      </c>
      <c r="L4" s="62">
        <f t="shared" si="1"/>
        <v>1.4354066985645933E-2</v>
      </c>
      <c r="M4" s="62">
        <f t="shared" si="1"/>
        <v>0</v>
      </c>
      <c r="N4" s="62">
        <f t="shared" si="1"/>
        <v>1.4150943396226415E-2</v>
      </c>
      <c r="O4" s="62">
        <f t="shared" si="1"/>
        <v>1.3953488372093023E-2</v>
      </c>
      <c r="P4" s="62">
        <f t="shared" si="1"/>
        <v>0</v>
      </c>
      <c r="Q4" s="62">
        <f t="shared" si="1"/>
        <v>0</v>
      </c>
      <c r="R4" s="62"/>
      <c r="S4" s="63">
        <f>AVERAGE(I4:Q4)</f>
        <v>9.6472807909677039E-3</v>
      </c>
    </row>
    <row r="6" spans="1:31" x14ac:dyDescent="0.25">
      <c r="A6" t="s">
        <v>47</v>
      </c>
      <c r="B6" s="1">
        <f>Investissement!Apport</f>
        <v>6000</v>
      </c>
      <c r="D6" s="41"/>
    </row>
    <row r="7" spans="1:31" x14ac:dyDescent="0.25">
      <c r="A7" t="s">
        <v>46</v>
      </c>
      <c r="B7" s="45">
        <f>B6/B4</f>
        <v>5.2863436123347967</v>
      </c>
      <c r="D7" s="1"/>
    </row>
    <row r="9" spans="1:31" x14ac:dyDescent="0.25">
      <c r="B9" s="44">
        <v>1</v>
      </c>
      <c r="C9" s="44">
        <f>B9+1</f>
        <v>2</v>
      </c>
      <c r="D9" s="44">
        <f t="shared" ref="D9:AE9" si="2">C9+1</f>
        <v>3</v>
      </c>
      <c r="E9" s="44">
        <f t="shared" si="2"/>
        <v>4</v>
      </c>
      <c r="F9" s="44">
        <f t="shared" si="2"/>
        <v>5</v>
      </c>
      <c r="G9" s="44">
        <f t="shared" si="2"/>
        <v>6</v>
      </c>
      <c r="H9" s="44">
        <f t="shared" si="2"/>
        <v>7</v>
      </c>
      <c r="I9" s="44">
        <f t="shared" si="2"/>
        <v>8</v>
      </c>
      <c r="J9" s="44">
        <f t="shared" si="2"/>
        <v>9</v>
      </c>
      <c r="K9" s="44">
        <f t="shared" si="2"/>
        <v>10</v>
      </c>
      <c r="L9" s="44">
        <f t="shared" si="2"/>
        <v>11</v>
      </c>
      <c r="M9" s="44">
        <f t="shared" si="2"/>
        <v>12</v>
      </c>
      <c r="N9" s="44">
        <f t="shared" si="2"/>
        <v>13</v>
      </c>
      <c r="O9" s="44">
        <f t="shared" si="2"/>
        <v>14</v>
      </c>
      <c r="P9" s="44">
        <f t="shared" si="2"/>
        <v>15</v>
      </c>
      <c r="Q9" s="44">
        <f t="shared" si="2"/>
        <v>16</v>
      </c>
      <c r="R9" s="44">
        <f t="shared" si="2"/>
        <v>17</v>
      </c>
      <c r="S9" s="44">
        <f t="shared" si="2"/>
        <v>18</v>
      </c>
      <c r="T9" s="44">
        <f t="shared" si="2"/>
        <v>19</v>
      </c>
      <c r="U9" s="44">
        <f t="shared" si="2"/>
        <v>20</v>
      </c>
      <c r="V9" s="44">
        <f t="shared" si="2"/>
        <v>21</v>
      </c>
      <c r="W9" s="44">
        <f t="shared" si="2"/>
        <v>22</v>
      </c>
      <c r="X9" s="44">
        <f t="shared" si="2"/>
        <v>23</v>
      </c>
      <c r="Y9" s="44">
        <f t="shared" si="2"/>
        <v>24</v>
      </c>
      <c r="Z9" s="44">
        <f t="shared" si="2"/>
        <v>25</v>
      </c>
      <c r="AA9" s="44">
        <f t="shared" si="2"/>
        <v>26</v>
      </c>
      <c r="AB9" s="44">
        <f t="shared" si="2"/>
        <v>27</v>
      </c>
      <c r="AC9" s="44">
        <f t="shared" si="2"/>
        <v>28</v>
      </c>
      <c r="AD9" s="44">
        <f t="shared" si="2"/>
        <v>29</v>
      </c>
      <c r="AE9" s="44">
        <f t="shared" si="2"/>
        <v>30</v>
      </c>
    </row>
    <row r="10" spans="1:31" x14ac:dyDescent="0.25">
      <c r="A10" t="s">
        <v>34</v>
      </c>
      <c r="B10" s="47">
        <f>S4</f>
        <v>9.6472807909677039E-3</v>
      </c>
      <c r="C10" s="47">
        <f>B10</f>
        <v>9.6472807909677039E-3</v>
      </c>
      <c r="D10" s="47">
        <f t="shared" ref="D10:AE10" si="3">C10</f>
        <v>9.6472807909677039E-3</v>
      </c>
      <c r="E10" s="47">
        <f t="shared" si="3"/>
        <v>9.6472807909677039E-3</v>
      </c>
      <c r="F10" s="47">
        <f t="shared" si="3"/>
        <v>9.6472807909677039E-3</v>
      </c>
      <c r="G10" s="47">
        <f t="shared" si="3"/>
        <v>9.6472807909677039E-3</v>
      </c>
      <c r="H10" s="47">
        <f t="shared" si="3"/>
        <v>9.6472807909677039E-3</v>
      </c>
      <c r="I10" s="47">
        <f t="shared" si="3"/>
        <v>9.6472807909677039E-3</v>
      </c>
      <c r="J10" s="47">
        <f t="shared" si="3"/>
        <v>9.6472807909677039E-3</v>
      </c>
      <c r="K10" s="47">
        <f t="shared" si="3"/>
        <v>9.6472807909677039E-3</v>
      </c>
      <c r="L10" s="47">
        <f t="shared" si="3"/>
        <v>9.6472807909677039E-3</v>
      </c>
      <c r="M10" s="47">
        <f t="shared" si="3"/>
        <v>9.6472807909677039E-3</v>
      </c>
      <c r="N10" s="47">
        <f t="shared" si="3"/>
        <v>9.6472807909677039E-3</v>
      </c>
      <c r="O10" s="47">
        <f t="shared" si="3"/>
        <v>9.6472807909677039E-3</v>
      </c>
      <c r="P10" s="47">
        <f t="shared" si="3"/>
        <v>9.6472807909677039E-3</v>
      </c>
      <c r="Q10" s="47">
        <f t="shared" si="3"/>
        <v>9.6472807909677039E-3</v>
      </c>
      <c r="R10" s="47">
        <f t="shared" si="3"/>
        <v>9.6472807909677039E-3</v>
      </c>
      <c r="S10" s="47">
        <f t="shared" si="3"/>
        <v>9.6472807909677039E-3</v>
      </c>
      <c r="T10" s="47">
        <f t="shared" si="3"/>
        <v>9.6472807909677039E-3</v>
      </c>
      <c r="U10" s="47">
        <f t="shared" si="3"/>
        <v>9.6472807909677039E-3</v>
      </c>
      <c r="V10" s="47">
        <f t="shared" si="3"/>
        <v>9.6472807909677039E-3</v>
      </c>
      <c r="W10" s="47">
        <f t="shared" si="3"/>
        <v>9.6472807909677039E-3</v>
      </c>
      <c r="X10" s="47">
        <f t="shared" si="3"/>
        <v>9.6472807909677039E-3</v>
      </c>
      <c r="Y10" s="47">
        <f t="shared" si="3"/>
        <v>9.6472807909677039E-3</v>
      </c>
      <c r="Z10" s="47">
        <f t="shared" si="3"/>
        <v>9.6472807909677039E-3</v>
      </c>
      <c r="AA10" s="47">
        <f t="shared" si="3"/>
        <v>9.6472807909677039E-3</v>
      </c>
      <c r="AB10" s="47">
        <f t="shared" si="3"/>
        <v>9.6472807909677039E-3</v>
      </c>
      <c r="AC10" s="47">
        <f t="shared" si="3"/>
        <v>9.6472807909677039E-3</v>
      </c>
      <c r="AD10" s="47">
        <f t="shared" si="3"/>
        <v>9.6472807909677039E-3</v>
      </c>
      <c r="AE10" s="47">
        <f t="shared" si="3"/>
        <v>9.6472807909677039E-3</v>
      </c>
    </row>
    <row r="11" spans="1:31" x14ac:dyDescent="0.25">
      <c r="A11" t="s">
        <v>33</v>
      </c>
      <c r="B11" s="1">
        <f>B3</f>
        <v>1013.7549124687399</v>
      </c>
      <c r="C11" s="1">
        <f>B11*(1+B10)</f>
        <v>1023.5348907625488</v>
      </c>
      <c r="D11" s="1">
        <f t="shared" ref="D11:AE11" si="4">C11*(1+C10)</f>
        <v>1033.4092192530877</v>
      </c>
      <c r="E11" s="1">
        <f t="shared" si="4"/>
        <v>1043.3788081631969</v>
      </c>
      <c r="F11" s="1">
        <f t="shared" si="4"/>
        <v>1053.4445764968925</v>
      </c>
      <c r="G11" s="1">
        <f t="shared" si="4"/>
        <v>1063.6074521240803</v>
      </c>
      <c r="H11" s="1">
        <f t="shared" si="4"/>
        <v>1073.868371866087</v>
      </c>
      <c r="I11" s="1">
        <f t="shared" si="4"/>
        <v>1084.2282815820186</v>
      </c>
      <c r="J11" s="1">
        <f t="shared" si="4"/>
        <v>1094.6881362559488</v>
      </c>
      <c r="K11" s="1">
        <f t="shared" si="4"/>
        <v>1105.2489000849512</v>
      </c>
      <c r="L11" s="1">
        <f t="shared" si="4"/>
        <v>1115.911546567979</v>
      </c>
      <c r="M11" s="1">
        <f t="shared" si="4"/>
        <v>1126.6770585956035</v>
      </c>
      <c r="N11" s="1">
        <f t="shared" si="4"/>
        <v>1137.5464285406169</v>
      </c>
      <c r="O11" s="1">
        <f t="shared" si="4"/>
        <v>1148.5206583495108</v>
      </c>
      <c r="P11" s="1">
        <f t="shared" si="4"/>
        <v>1159.6007596348356</v>
      </c>
      <c r="Q11" s="1">
        <f t="shared" si="4"/>
        <v>1170.7877537684524</v>
      </c>
      <c r="R11" s="1">
        <f t="shared" si="4"/>
        <v>1182.0826719756831</v>
      </c>
      <c r="S11" s="1">
        <f t="shared" si="4"/>
        <v>1193.4865554303699</v>
      </c>
      <c r="T11" s="1">
        <f t="shared" si="4"/>
        <v>1205.0004553508516</v>
      </c>
      <c r="U11" s="1">
        <f t="shared" si="4"/>
        <v>1216.6254330968652</v>
      </c>
      <c r="V11" s="1">
        <f t="shared" si="4"/>
        <v>1228.3625602673835</v>
      </c>
      <c r="W11" s="1">
        <f t="shared" si="4"/>
        <v>1240.2129187993951</v>
      </c>
      <c r="X11" s="1">
        <f t="shared" si="4"/>
        <v>1252.1776010676385</v>
      </c>
      <c r="Y11" s="1">
        <f t="shared" si="4"/>
        <v>1264.2577099852986</v>
      </c>
      <c r="Z11" s="1">
        <f t="shared" si="4"/>
        <v>1276.4543591056727</v>
      </c>
      <c r="AA11" s="1">
        <f t="shared" si="4"/>
        <v>1288.7686727248199</v>
      </c>
      <c r="AB11" s="1">
        <f t="shared" si="4"/>
        <v>1301.2017859851992</v>
      </c>
      <c r="AC11" s="1">
        <f t="shared" si="4"/>
        <v>1313.7548449803071</v>
      </c>
      <c r="AD11" s="1">
        <f t="shared" si="4"/>
        <v>1326.4290068603264</v>
      </c>
      <c r="AE11" s="1">
        <f t="shared" si="4"/>
        <v>1339.2254399387925</v>
      </c>
    </row>
    <row r="12" spans="1:31" x14ac:dyDescent="0.25">
      <c r="A12" t="s">
        <v>80</v>
      </c>
      <c r="B12" s="45">
        <f>B7</f>
        <v>5.2863436123347967</v>
      </c>
      <c r="C12" s="45">
        <f>B31</f>
        <v>7.3946332967615565</v>
      </c>
      <c r="D12" s="45">
        <f t="shared" ref="D12:AE12" si="5">C31</f>
        <v>9.5582713786347924</v>
      </c>
      <c r="E12" s="45">
        <f t="shared" si="5"/>
        <v>11.775480895811731</v>
      </c>
      <c r="F12" s="45">
        <f t="shared" si="5"/>
        <v>14.048817737634554</v>
      </c>
      <c r="G12" s="45">
        <f t="shared" si="5"/>
        <v>16.380936939138682</v>
      </c>
      <c r="H12" s="45">
        <f t="shared" si="5"/>
        <v>18.774596660449347</v>
      </c>
      <c r="I12" s="45">
        <f t="shared" si="5"/>
        <v>21.232662323769635</v>
      </c>
      <c r="J12" s="45">
        <f t="shared" si="5"/>
        <v>23.75811091420762</v>
      </c>
      <c r="K12" s="45">
        <f t="shared" si="5"/>
        <v>26.354035450937616</v>
      </c>
      <c r="L12" s="45">
        <f t="shared" si="5"/>
        <v>29.023649635447732</v>
      </c>
      <c r="M12" s="45">
        <f t="shared" si="5"/>
        <v>31.770292683893373</v>
      </c>
      <c r="N12" s="45">
        <f t="shared" si="5"/>
        <v>34.597434350854208</v>
      </c>
      <c r="O12" s="45">
        <f t="shared" si="5"/>
        <v>37.508680152081126</v>
      </c>
      <c r="P12" s="45">
        <f t="shared" si="5"/>
        <v>40.507776794120176</v>
      </c>
      <c r="Q12" s="45">
        <f t="shared" si="5"/>
        <v>43.598617819012638</v>
      </c>
      <c r="R12" s="45">
        <f t="shared" si="5"/>
        <v>45.324571676617389</v>
      </c>
      <c r="S12" s="45">
        <f t="shared" si="5"/>
        <v>47.118851478199232</v>
      </c>
      <c r="T12" s="45">
        <f t="shared" si="5"/>
        <v>48.9841620669959</v>
      </c>
      <c r="U12" s="45">
        <f t="shared" si="5"/>
        <v>50.923315363828152</v>
      </c>
      <c r="V12" s="45">
        <f t="shared" si="5"/>
        <v>52.939234606017855</v>
      </c>
      <c r="W12" s="45">
        <f t="shared" si="5"/>
        <v>55.034958754113532</v>
      </c>
      <c r="X12" s="45">
        <f t="shared" si="5"/>
        <v>57.213647073066568</v>
      </c>
      <c r="Y12" s="45">
        <f t="shared" si="5"/>
        <v>59.478583894764007</v>
      </c>
      <c r="Z12" s="45">
        <f t="shared" si="5"/>
        <v>61.833183569097457</v>
      </c>
      <c r="AA12" s="45">
        <f t="shared" si="5"/>
        <v>64.28099561103167</v>
      </c>
      <c r="AB12" s="45">
        <f t="shared" si="5"/>
        <v>66.82571005143194</v>
      </c>
      <c r="AC12" s="45">
        <f t="shared" si="5"/>
        <v>69.471162999716654</v>
      </c>
      <c r="AD12" s="45">
        <f t="shared" si="5"/>
        <v>72.22134242672044</v>
      </c>
      <c r="AE12" s="45">
        <f t="shared" si="5"/>
        <v>75.080394176485626</v>
      </c>
    </row>
    <row r="13" spans="1:31" x14ac:dyDescent="0.25">
      <c r="A13" t="s">
        <v>83</v>
      </c>
      <c r="B13" s="1">
        <f>B12*B11*(1+$B$2)</f>
        <v>6000</v>
      </c>
      <c r="C13" s="1">
        <f t="shared" ref="C13:AE13" si="6">C12*C11*(1+$B$2)</f>
        <v>8473.8775395920875</v>
      </c>
      <c r="D13" s="1">
        <f t="shared" si="6"/>
        <v>11058.967412035487</v>
      </c>
      <c r="E13" s="1">
        <f t="shared" si="6"/>
        <v>13755.727174445954</v>
      </c>
      <c r="F13" s="1">
        <f t="shared" si="6"/>
        <v>16569.689093792236</v>
      </c>
      <c r="G13" s="1">
        <f t="shared" si="6"/>
        <v>19506.66383875113</v>
      </c>
      <c r="H13" s="1">
        <f t="shared" si="6"/>
        <v>22572.75443576384</v>
      </c>
      <c r="I13" s="1">
        <f t="shared" si="6"/>
        <v>25774.370921683574</v>
      </c>
      <c r="J13" s="1">
        <f t="shared" si="6"/>
        <v>29118.245727689329</v>
      </c>
      <c r="K13" s="1">
        <f t="shared" si="6"/>
        <v>32611.449830864462</v>
      </c>
      <c r="L13" s="1">
        <f t="shared" si="6"/>
        <v>36261.409711647699</v>
      </c>
      <c r="M13" s="1">
        <f t="shared" si="6"/>
        <v>40075.925157262936</v>
      </c>
      <c r="N13" s="1">
        <f t="shared" si="6"/>
        <v>44063.187953227585</v>
      </c>
      <c r="O13" s="1">
        <f t="shared" si="6"/>
        <v>48231.801507131335</v>
      </c>
      <c r="P13" s="1">
        <f t="shared" si="6"/>
        <v>52590.801451073101</v>
      </c>
      <c r="Q13" s="1">
        <f t="shared" si="6"/>
        <v>57149.677271449262</v>
      </c>
      <c r="R13" s="1">
        <f t="shared" si="6"/>
        <v>59985.246732569693</v>
      </c>
      <c r="S13" s="1">
        <f t="shared" si="6"/>
        <v>62961.507349838714</v>
      </c>
      <c r="T13" s="1">
        <f t="shared" si="6"/>
        <v>66085.439732156883</v>
      </c>
      <c r="U13" s="1">
        <f t="shared" si="6"/>
        <v>69364.370842111457</v>
      </c>
      <c r="V13" s="1">
        <f t="shared" si="6"/>
        <v>72805.99118084932</v>
      </c>
      <c r="W13" s="1">
        <f t="shared" si="6"/>
        <v>76418.372825603699</v>
      </c>
      <c r="X13" s="1">
        <f t="shared" si="6"/>
        <v>80209.988362180855</v>
      </c>
      <c r="Y13" s="1">
        <f t="shared" si="6"/>
        <v>84189.730756811157</v>
      </c>
      <c r="Z13" s="1">
        <f t="shared" si="6"/>
        <v>88366.934213972723</v>
      </c>
      <c r="AA13" s="1">
        <f t="shared" si="6"/>
        <v>92751.396069108348</v>
      </c>
      <c r="AB13" s="1">
        <f t="shared" si="6"/>
        <v>97353.39976758312</v>
      </c>
      <c r="AC13" s="1">
        <f t="shared" si="6"/>
        <v>102183.73898377881</v>
      </c>
      <c r="AD13" s="1">
        <f t="shared" si="6"/>
        <v>107253.74293689398</v>
      </c>
      <c r="AE13" s="1">
        <f t="shared" si="6"/>
        <v>112575.30296282703</v>
      </c>
    </row>
    <row r="15" spans="1:31" x14ac:dyDescent="0.25">
      <c r="A15" t="s">
        <v>78</v>
      </c>
      <c r="B15" s="47">
        <v>0.06</v>
      </c>
      <c r="C15" s="47">
        <v>0.06</v>
      </c>
      <c r="D15" s="47">
        <v>0.06</v>
      </c>
      <c r="E15" s="47">
        <v>0.06</v>
      </c>
      <c r="F15" s="47">
        <v>0.06</v>
      </c>
      <c r="G15" s="47">
        <v>0.06</v>
      </c>
      <c r="H15" s="47">
        <v>0.06</v>
      </c>
      <c r="I15" s="47">
        <v>0.06</v>
      </c>
      <c r="J15" s="47">
        <v>0.06</v>
      </c>
      <c r="K15" s="47">
        <v>0.06</v>
      </c>
      <c r="L15" s="47">
        <v>0.06</v>
      </c>
      <c r="M15" s="47">
        <v>0.06</v>
      </c>
      <c r="N15" s="47">
        <v>0.06</v>
      </c>
      <c r="O15" s="47">
        <v>0.06</v>
      </c>
      <c r="P15" s="47">
        <v>0.06</v>
      </c>
      <c r="Q15" s="47">
        <v>0.06</v>
      </c>
      <c r="R15" s="47">
        <v>0.06</v>
      </c>
      <c r="S15" s="47">
        <v>0.06</v>
      </c>
      <c r="T15" s="47">
        <v>0.06</v>
      </c>
      <c r="U15" s="47">
        <v>0.06</v>
      </c>
      <c r="V15" s="47">
        <v>0.06</v>
      </c>
      <c r="W15" s="47">
        <v>0.06</v>
      </c>
      <c r="X15" s="47">
        <v>0.06</v>
      </c>
      <c r="Y15" s="47">
        <v>0.06</v>
      </c>
      <c r="Z15" s="47">
        <v>0.06</v>
      </c>
      <c r="AA15" s="47">
        <v>0.06</v>
      </c>
      <c r="AB15" s="47">
        <v>0.06</v>
      </c>
      <c r="AC15" s="47">
        <v>0.06</v>
      </c>
      <c r="AD15" s="47">
        <v>0.06</v>
      </c>
      <c r="AE15" s="47">
        <v>0.06</v>
      </c>
    </row>
    <row r="16" spans="1:31" x14ac:dyDescent="0.25">
      <c r="A16" t="s">
        <v>41</v>
      </c>
      <c r="B16" s="1">
        <f>B11*B15*B12</f>
        <v>321.54340836012864</v>
      </c>
      <c r="C16" s="1">
        <f t="shared" ref="C16:AE16" si="7">C11*C15*C12</f>
        <v>454.11991101779671</v>
      </c>
      <c r="D16" s="1">
        <f t="shared" si="7"/>
        <v>592.65634576824687</v>
      </c>
      <c r="E16" s="1">
        <f t="shared" si="7"/>
        <v>737.17723335723224</v>
      </c>
      <c r="F16" s="1">
        <f t="shared" si="7"/>
        <v>887.97905111426792</v>
      </c>
      <c r="G16" s="1">
        <f t="shared" si="7"/>
        <v>1045.3731960745515</v>
      </c>
      <c r="H16" s="1">
        <f t="shared" si="7"/>
        <v>1209.6867328919529</v>
      </c>
      <c r="I16" s="1">
        <f t="shared" si="7"/>
        <v>1381.2631790827213</v>
      </c>
      <c r="J16" s="1">
        <f t="shared" si="7"/>
        <v>1560.4633294581633</v>
      </c>
      <c r="K16" s="1">
        <f t="shared" si="7"/>
        <v>1747.6661216969167</v>
      </c>
      <c r="L16" s="1">
        <f t="shared" si="7"/>
        <v>1943.2695451043783</v>
      </c>
      <c r="M16" s="1">
        <f t="shared" si="7"/>
        <v>2147.6915947086241</v>
      </c>
      <c r="N16" s="1">
        <f t="shared" si="7"/>
        <v>2361.3712729489598</v>
      </c>
      <c r="O16" s="1">
        <f t="shared" si="7"/>
        <v>2584.7696413253661</v>
      </c>
      <c r="P16" s="1">
        <f t="shared" si="7"/>
        <v>2818.3709244948072</v>
      </c>
      <c r="Q16" s="1">
        <f t="shared" si="7"/>
        <v>3062.6836694238618</v>
      </c>
      <c r="R16" s="1">
        <f t="shared" si="7"/>
        <v>3214.6434476189547</v>
      </c>
      <c r="S16" s="1">
        <f t="shared" si="7"/>
        <v>3374.1429447930714</v>
      </c>
      <c r="T16" s="1">
        <f t="shared" si="7"/>
        <v>3541.5562557425978</v>
      </c>
      <c r="U16" s="1">
        <f t="shared" si="7"/>
        <v>3717.2760365547401</v>
      </c>
      <c r="V16" s="1">
        <f t="shared" si="7"/>
        <v>3901.7144255546254</v>
      </c>
      <c r="W16" s="1">
        <f t="shared" si="7"/>
        <v>4095.3040099466075</v>
      </c>
      <c r="X16" s="1">
        <f t="shared" si="7"/>
        <v>4298.4988404169808</v>
      </c>
      <c r="Y16" s="1">
        <f t="shared" si="7"/>
        <v>4511.7754960777684</v>
      </c>
      <c r="Z16" s="1">
        <f t="shared" si="7"/>
        <v>4735.6342022493418</v>
      </c>
      <c r="AA16" s="1">
        <f t="shared" si="7"/>
        <v>4970.6000037035556</v>
      </c>
      <c r="AB16" s="1">
        <f t="shared" si="7"/>
        <v>5217.223996119139</v>
      </c>
      <c r="AC16" s="1">
        <f t="shared" si="7"/>
        <v>5476.0846186376639</v>
      </c>
      <c r="AD16" s="1">
        <f t="shared" si="7"/>
        <v>5747.7890105516608</v>
      </c>
      <c r="AE16" s="1">
        <f t="shared" si="7"/>
        <v>6032.9744353069154</v>
      </c>
    </row>
    <row r="17" spans="1:31" x14ac:dyDescent="0.25">
      <c r="A17" t="s">
        <v>42</v>
      </c>
      <c r="B17" s="46">
        <v>0.17</v>
      </c>
      <c r="C17" s="46">
        <v>0.17</v>
      </c>
      <c r="D17" s="46">
        <v>0.17</v>
      </c>
      <c r="E17" s="46">
        <v>0.17</v>
      </c>
      <c r="F17" s="46">
        <v>0.17</v>
      </c>
      <c r="G17" s="46">
        <v>0.17</v>
      </c>
      <c r="H17" s="46">
        <v>0.17</v>
      </c>
      <c r="I17" s="46">
        <v>0.17</v>
      </c>
      <c r="J17" s="46">
        <v>0.17</v>
      </c>
      <c r="K17" s="46">
        <v>0.17</v>
      </c>
      <c r="L17" s="46">
        <v>0.17</v>
      </c>
      <c r="M17" s="46">
        <v>0.17</v>
      </c>
      <c r="N17" s="46">
        <v>0.17</v>
      </c>
      <c r="O17" s="46">
        <v>0.17</v>
      </c>
      <c r="P17" s="46">
        <v>0.17</v>
      </c>
      <c r="Q17" s="46">
        <v>0.17</v>
      </c>
      <c r="R17" s="46">
        <v>0.17</v>
      </c>
      <c r="S17" s="46">
        <v>0.17</v>
      </c>
      <c r="T17" s="46">
        <v>0.17</v>
      </c>
      <c r="U17" s="46">
        <v>0.17</v>
      </c>
      <c r="V17" s="46">
        <v>0.17</v>
      </c>
      <c r="W17" s="46">
        <v>0.17</v>
      </c>
      <c r="X17" s="46">
        <v>0.17</v>
      </c>
      <c r="Y17" s="46">
        <v>0.17</v>
      </c>
      <c r="Z17" s="46">
        <v>0.17</v>
      </c>
      <c r="AA17" s="46">
        <v>0.17</v>
      </c>
      <c r="AB17" s="46">
        <v>0.17</v>
      </c>
      <c r="AC17" s="46">
        <v>0.17</v>
      </c>
      <c r="AD17" s="46">
        <v>0.17</v>
      </c>
      <c r="AE17" s="46">
        <v>0.17</v>
      </c>
    </row>
    <row r="18" spans="1:31" x14ac:dyDescent="0.25">
      <c r="A18" t="s">
        <v>44</v>
      </c>
      <c r="B18" s="48">
        <f>B17*B16</f>
        <v>54.662379421221871</v>
      </c>
      <c r="C18" s="48">
        <f t="shared" ref="C18:AE18" si="8">C17*C16</f>
        <v>77.200384873025442</v>
      </c>
      <c r="D18" s="48">
        <f t="shared" si="8"/>
        <v>100.75157878060197</v>
      </c>
      <c r="E18" s="48">
        <f t="shared" si="8"/>
        <v>125.32012967072949</v>
      </c>
      <c r="F18" s="48">
        <f t="shared" si="8"/>
        <v>150.95643868942557</v>
      </c>
      <c r="G18" s="48">
        <f t="shared" si="8"/>
        <v>177.71344333267376</v>
      </c>
      <c r="H18" s="48">
        <f t="shared" si="8"/>
        <v>205.64674459163203</v>
      </c>
      <c r="I18" s="48">
        <f t="shared" si="8"/>
        <v>234.81474044406264</v>
      </c>
      <c r="J18" s="48">
        <f t="shared" si="8"/>
        <v>265.27876600788778</v>
      </c>
      <c r="K18" s="48">
        <f t="shared" si="8"/>
        <v>297.10324068847586</v>
      </c>
      <c r="L18" s="48">
        <f t="shared" si="8"/>
        <v>330.35582266774435</v>
      </c>
      <c r="M18" s="48">
        <f t="shared" si="8"/>
        <v>365.10757110046609</v>
      </c>
      <c r="N18" s="48">
        <f t="shared" si="8"/>
        <v>401.43311640132322</v>
      </c>
      <c r="O18" s="48">
        <f t="shared" si="8"/>
        <v>439.41083902531227</v>
      </c>
      <c r="P18" s="48">
        <f t="shared" si="8"/>
        <v>479.12305716411726</v>
      </c>
      <c r="Q18" s="48">
        <f t="shared" si="8"/>
        <v>520.6562238020565</v>
      </c>
      <c r="R18" s="48">
        <f t="shared" si="8"/>
        <v>546.48938609522236</v>
      </c>
      <c r="S18" s="48">
        <f t="shared" si="8"/>
        <v>573.60430061482214</v>
      </c>
      <c r="T18" s="48">
        <f t="shared" si="8"/>
        <v>602.06456347624169</v>
      </c>
      <c r="U18" s="48">
        <f t="shared" si="8"/>
        <v>631.93692621430591</v>
      </c>
      <c r="V18" s="48">
        <f t="shared" si="8"/>
        <v>663.29145234428643</v>
      </c>
      <c r="W18" s="48">
        <f t="shared" si="8"/>
        <v>696.20168169092335</v>
      </c>
      <c r="X18" s="48">
        <f t="shared" si="8"/>
        <v>730.74480287088682</v>
      </c>
      <c r="Y18" s="48">
        <f t="shared" si="8"/>
        <v>767.0018343332207</v>
      </c>
      <c r="Z18" s="48">
        <f t="shared" si="8"/>
        <v>805.05781438238819</v>
      </c>
      <c r="AA18" s="48">
        <f t="shared" si="8"/>
        <v>845.00200062960448</v>
      </c>
      <c r="AB18" s="48">
        <f t="shared" si="8"/>
        <v>886.9280793402537</v>
      </c>
      <c r="AC18" s="48">
        <f t="shared" si="8"/>
        <v>930.93438516840297</v>
      </c>
      <c r="AD18" s="48">
        <f t="shared" si="8"/>
        <v>977.12413179378245</v>
      </c>
      <c r="AE18" s="48">
        <f t="shared" si="8"/>
        <v>1025.6056540021757</v>
      </c>
    </row>
    <row r="19" spans="1:31" s="1" customFormat="1" x14ac:dyDescent="0.25">
      <c r="A19" s="1" t="s">
        <v>45</v>
      </c>
      <c r="B19" s="1">
        <f>B16-B18</f>
        <v>266.88102893890675</v>
      </c>
      <c r="C19" s="1">
        <f t="shared" ref="C19:AE19" si="9">C16-C18</f>
        <v>376.91952614477128</v>
      </c>
      <c r="D19" s="1">
        <f t="shared" si="9"/>
        <v>491.9047669876449</v>
      </c>
      <c r="E19" s="1">
        <f t="shared" si="9"/>
        <v>611.8571036865028</v>
      </c>
      <c r="F19" s="1">
        <f t="shared" si="9"/>
        <v>737.02261242484235</v>
      </c>
      <c r="G19" s="1">
        <f t="shared" si="9"/>
        <v>867.65975274187781</v>
      </c>
      <c r="H19" s="1">
        <f t="shared" si="9"/>
        <v>1004.0399883003209</v>
      </c>
      <c r="I19" s="1">
        <f t="shared" si="9"/>
        <v>1146.4484386386587</v>
      </c>
      <c r="J19" s="1">
        <f t="shared" si="9"/>
        <v>1295.1845634502756</v>
      </c>
      <c r="K19" s="1">
        <f t="shared" si="9"/>
        <v>1450.5628810084409</v>
      </c>
      <c r="L19" s="1">
        <f t="shared" si="9"/>
        <v>1612.9137224366339</v>
      </c>
      <c r="M19" s="1">
        <f t="shared" si="9"/>
        <v>1782.5840236081581</v>
      </c>
      <c r="N19" s="1">
        <f t="shared" si="9"/>
        <v>1959.9381565476365</v>
      </c>
      <c r="O19" s="1">
        <f t="shared" si="9"/>
        <v>2145.3588023000539</v>
      </c>
      <c r="P19" s="1">
        <f t="shared" si="9"/>
        <v>2339.24786733069</v>
      </c>
      <c r="Q19" s="1">
        <f t="shared" si="9"/>
        <v>2542.0274456218053</v>
      </c>
      <c r="R19" s="1">
        <f t="shared" si="9"/>
        <v>2668.1540615237323</v>
      </c>
      <c r="S19" s="1">
        <f t="shared" si="9"/>
        <v>2800.5386441782493</v>
      </c>
      <c r="T19" s="1">
        <f t="shared" si="9"/>
        <v>2939.491692266356</v>
      </c>
      <c r="U19" s="1">
        <f t="shared" si="9"/>
        <v>3085.3391103404342</v>
      </c>
      <c r="V19" s="1">
        <f t="shared" si="9"/>
        <v>3238.422973210339</v>
      </c>
      <c r="W19" s="1">
        <f t="shared" si="9"/>
        <v>3399.1023282556844</v>
      </c>
      <c r="X19" s="1">
        <f t="shared" si="9"/>
        <v>3567.754037546094</v>
      </c>
      <c r="Y19" s="1">
        <f t="shared" si="9"/>
        <v>3744.7736617445476</v>
      </c>
      <c r="Z19" s="1">
        <f t="shared" si="9"/>
        <v>3930.5763878669536</v>
      </c>
      <c r="AA19" s="1">
        <f t="shared" si="9"/>
        <v>4125.5980030739511</v>
      </c>
      <c r="AB19" s="1">
        <f t="shared" si="9"/>
        <v>4330.2959167788849</v>
      </c>
      <c r="AC19" s="1">
        <f t="shared" si="9"/>
        <v>4545.1502334692614</v>
      </c>
      <c r="AD19" s="1">
        <f t="shared" si="9"/>
        <v>4770.6648787578779</v>
      </c>
      <c r="AE19" s="1">
        <f t="shared" si="9"/>
        <v>5007.36878130474</v>
      </c>
    </row>
    <row r="21" spans="1:31" x14ac:dyDescent="0.25">
      <c r="A21" t="s">
        <v>48</v>
      </c>
      <c r="B21" s="1">
        <f>IF(B19&gt;0,B19,0)</f>
        <v>266.88102893890675</v>
      </c>
      <c r="C21" s="1">
        <f t="shared" ref="C21:AE21" si="10">IF(C19&gt;0,C19,0)</f>
        <v>376.91952614477128</v>
      </c>
      <c r="D21" s="1">
        <f t="shared" si="10"/>
        <v>491.9047669876449</v>
      </c>
      <c r="E21" s="1">
        <f t="shared" si="10"/>
        <v>611.8571036865028</v>
      </c>
      <c r="F21" s="1">
        <f t="shared" si="10"/>
        <v>737.02261242484235</v>
      </c>
      <c r="G21" s="1">
        <f t="shared" si="10"/>
        <v>867.65975274187781</v>
      </c>
      <c r="H21" s="1">
        <f t="shared" si="10"/>
        <v>1004.0399883003209</v>
      </c>
      <c r="I21" s="1">
        <f t="shared" si="10"/>
        <v>1146.4484386386587</v>
      </c>
      <c r="J21" s="1">
        <f t="shared" si="10"/>
        <v>1295.1845634502756</v>
      </c>
      <c r="K21" s="1">
        <f t="shared" si="10"/>
        <v>1450.5628810084409</v>
      </c>
      <c r="L21" s="1">
        <f t="shared" si="10"/>
        <v>1612.9137224366339</v>
      </c>
      <c r="M21" s="1">
        <f t="shared" si="10"/>
        <v>1782.5840236081581</v>
      </c>
      <c r="N21" s="1">
        <f t="shared" si="10"/>
        <v>1959.9381565476365</v>
      </c>
      <c r="O21" s="1">
        <f t="shared" si="10"/>
        <v>2145.3588023000539</v>
      </c>
      <c r="P21" s="1">
        <f t="shared" si="10"/>
        <v>2339.24786733069</v>
      </c>
      <c r="Q21" s="1">
        <f t="shared" si="10"/>
        <v>2542.0274456218053</v>
      </c>
      <c r="R21" s="1">
        <f t="shared" si="10"/>
        <v>2668.1540615237323</v>
      </c>
      <c r="S21" s="1">
        <f t="shared" si="10"/>
        <v>2800.5386441782493</v>
      </c>
      <c r="T21" s="1">
        <f t="shared" si="10"/>
        <v>2939.491692266356</v>
      </c>
      <c r="U21" s="1">
        <f t="shared" si="10"/>
        <v>3085.3391103404342</v>
      </c>
      <c r="V21" s="1">
        <f t="shared" si="10"/>
        <v>3238.422973210339</v>
      </c>
      <c r="W21" s="1">
        <f t="shared" si="10"/>
        <v>3399.1023282556844</v>
      </c>
      <c r="X21" s="1">
        <f t="shared" si="10"/>
        <v>3567.754037546094</v>
      </c>
      <c r="Y21" s="1">
        <f t="shared" si="10"/>
        <v>3744.7736617445476</v>
      </c>
      <c r="Z21" s="1">
        <f t="shared" si="10"/>
        <v>3930.5763878669536</v>
      </c>
      <c r="AA21" s="1">
        <f t="shared" si="10"/>
        <v>4125.5980030739511</v>
      </c>
      <c r="AB21" s="1">
        <f t="shared" si="10"/>
        <v>4330.2959167788849</v>
      </c>
      <c r="AC21" s="1">
        <f t="shared" si="10"/>
        <v>4545.1502334692614</v>
      </c>
      <c r="AD21" s="1">
        <f t="shared" si="10"/>
        <v>4770.6648787578779</v>
      </c>
      <c r="AE21" s="1">
        <f t="shared" si="10"/>
        <v>5007.36878130474</v>
      </c>
    </row>
    <row r="22" spans="1:31" x14ac:dyDescent="0.25">
      <c r="A22" t="s">
        <v>43</v>
      </c>
      <c r="B22" s="46">
        <f>Investissement!B13</f>
        <v>0.11</v>
      </c>
      <c r="C22" s="43">
        <f>B22</f>
        <v>0.11</v>
      </c>
      <c r="D22" s="43">
        <f t="shared" ref="D22:AE22" si="11">C22</f>
        <v>0.11</v>
      </c>
      <c r="E22" s="43">
        <f t="shared" si="11"/>
        <v>0.11</v>
      </c>
      <c r="F22" s="43">
        <f t="shared" si="11"/>
        <v>0.11</v>
      </c>
      <c r="G22" s="43">
        <f t="shared" si="11"/>
        <v>0.11</v>
      </c>
      <c r="H22" s="43">
        <f t="shared" si="11"/>
        <v>0.11</v>
      </c>
      <c r="I22" s="43">
        <f t="shared" si="11"/>
        <v>0.11</v>
      </c>
      <c r="J22" s="43">
        <f t="shared" si="11"/>
        <v>0.11</v>
      </c>
      <c r="K22" s="43">
        <f t="shared" si="11"/>
        <v>0.11</v>
      </c>
      <c r="L22" s="43">
        <f t="shared" si="11"/>
        <v>0.11</v>
      </c>
      <c r="M22" s="43">
        <f t="shared" si="11"/>
        <v>0.11</v>
      </c>
      <c r="N22" s="43">
        <f t="shared" si="11"/>
        <v>0.11</v>
      </c>
      <c r="O22" s="43">
        <f t="shared" si="11"/>
        <v>0.11</v>
      </c>
      <c r="P22" s="43">
        <f t="shared" si="11"/>
        <v>0.11</v>
      </c>
      <c r="Q22" s="43">
        <f t="shared" si="11"/>
        <v>0.11</v>
      </c>
      <c r="R22" s="43">
        <f t="shared" si="11"/>
        <v>0.11</v>
      </c>
      <c r="S22" s="43">
        <f t="shared" si="11"/>
        <v>0.11</v>
      </c>
      <c r="T22" s="43">
        <f t="shared" si="11"/>
        <v>0.11</v>
      </c>
      <c r="U22" s="43">
        <f t="shared" si="11"/>
        <v>0.11</v>
      </c>
      <c r="V22" s="43">
        <f t="shared" si="11"/>
        <v>0.11</v>
      </c>
      <c r="W22" s="43">
        <f t="shared" si="11"/>
        <v>0.11</v>
      </c>
      <c r="X22" s="43">
        <f t="shared" si="11"/>
        <v>0.11</v>
      </c>
      <c r="Y22" s="43">
        <f t="shared" si="11"/>
        <v>0.11</v>
      </c>
      <c r="Z22" s="43">
        <f t="shared" si="11"/>
        <v>0.11</v>
      </c>
      <c r="AA22" s="43">
        <f t="shared" si="11"/>
        <v>0.11</v>
      </c>
      <c r="AB22" s="43">
        <f t="shared" si="11"/>
        <v>0.11</v>
      </c>
      <c r="AC22" s="43">
        <f t="shared" si="11"/>
        <v>0.11</v>
      </c>
      <c r="AD22" s="43">
        <f t="shared" si="11"/>
        <v>0.11</v>
      </c>
      <c r="AE22" s="43">
        <f t="shared" si="11"/>
        <v>0.11</v>
      </c>
    </row>
    <row r="23" spans="1:31" x14ac:dyDescent="0.25">
      <c r="A23" t="s">
        <v>49</v>
      </c>
      <c r="B23" s="1">
        <f>B21*B22</f>
        <v>29.356913183279744</v>
      </c>
      <c r="C23" s="1">
        <f t="shared" ref="C23:AE23" si="12">C21*C22</f>
        <v>41.461147875924844</v>
      </c>
      <c r="D23" s="1">
        <f t="shared" si="12"/>
        <v>54.10952436864094</v>
      </c>
      <c r="E23" s="1">
        <f t="shared" si="12"/>
        <v>67.304281405515312</v>
      </c>
      <c r="F23" s="1">
        <f t="shared" si="12"/>
        <v>81.072487366732659</v>
      </c>
      <c r="G23" s="1">
        <f t="shared" si="12"/>
        <v>95.442572801606559</v>
      </c>
      <c r="H23" s="1">
        <f t="shared" si="12"/>
        <v>110.4443987130353</v>
      </c>
      <c r="I23" s="1">
        <f t="shared" si="12"/>
        <v>126.10932825025246</v>
      </c>
      <c r="J23" s="1">
        <f t="shared" si="12"/>
        <v>142.47030197953032</v>
      </c>
      <c r="K23" s="1">
        <f t="shared" si="12"/>
        <v>159.56191691092849</v>
      </c>
      <c r="L23" s="1">
        <f t="shared" si="12"/>
        <v>177.42050946802973</v>
      </c>
      <c r="M23" s="1">
        <f t="shared" si="12"/>
        <v>196.08424259689738</v>
      </c>
      <c r="N23" s="1">
        <f t="shared" si="12"/>
        <v>215.59319722024</v>
      </c>
      <c r="O23" s="1">
        <f t="shared" si="12"/>
        <v>235.98946825300592</v>
      </c>
      <c r="P23" s="1">
        <f t="shared" si="12"/>
        <v>257.3172654063759</v>
      </c>
      <c r="Q23" s="1">
        <f t="shared" si="12"/>
        <v>279.62301901839857</v>
      </c>
      <c r="R23" s="1">
        <f t="shared" si="12"/>
        <v>293.49694676761055</v>
      </c>
      <c r="S23" s="1">
        <f t="shared" si="12"/>
        <v>308.0592508596074</v>
      </c>
      <c r="T23" s="1">
        <f t="shared" si="12"/>
        <v>323.34408614929919</v>
      </c>
      <c r="U23" s="1">
        <f t="shared" si="12"/>
        <v>339.38730213744776</v>
      </c>
      <c r="V23" s="1">
        <f t="shared" si="12"/>
        <v>356.22652705313732</v>
      </c>
      <c r="W23" s="1">
        <f t="shared" si="12"/>
        <v>373.90125610812527</v>
      </c>
      <c r="X23" s="1">
        <f t="shared" si="12"/>
        <v>392.45294413007036</v>
      </c>
      <c r="Y23" s="1">
        <f t="shared" si="12"/>
        <v>411.92510279190026</v>
      </c>
      <c r="Z23" s="1">
        <f t="shared" si="12"/>
        <v>432.3634026653649</v>
      </c>
      <c r="AA23" s="1">
        <f t="shared" si="12"/>
        <v>453.81578033813463</v>
      </c>
      <c r="AB23" s="1">
        <f t="shared" si="12"/>
        <v>476.33255084567736</v>
      </c>
      <c r="AC23" s="1">
        <f t="shared" si="12"/>
        <v>499.96652568161875</v>
      </c>
      <c r="AD23" s="1">
        <f t="shared" si="12"/>
        <v>524.77313666336659</v>
      </c>
      <c r="AE23" s="1">
        <f t="shared" si="12"/>
        <v>550.8105659435214</v>
      </c>
    </row>
    <row r="24" spans="1:31" x14ac:dyDescent="0.25">
      <c r="A24" t="s">
        <v>50</v>
      </c>
      <c r="B24" s="1">
        <f>B19-B23</f>
        <v>237.52411575562701</v>
      </c>
      <c r="C24" s="1">
        <f t="shared" ref="C24:AE24" si="13">C19-C23</f>
        <v>335.45837826884645</v>
      </c>
      <c r="D24" s="1">
        <f t="shared" si="13"/>
        <v>437.79524261900394</v>
      </c>
      <c r="E24" s="1">
        <f t="shared" si="13"/>
        <v>544.55282228098747</v>
      </c>
      <c r="F24" s="1">
        <f t="shared" si="13"/>
        <v>655.95012505810973</v>
      </c>
      <c r="G24" s="1">
        <f t="shared" si="13"/>
        <v>772.21717994027131</v>
      </c>
      <c r="H24" s="1">
        <f t="shared" si="13"/>
        <v>893.59558958728564</v>
      </c>
      <c r="I24" s="1">
        <f t="shared" si="13"/>
        <v>1020.3391103884062</v>
      </c>
      <c r="J24" s="1">
        <f t="shared" si="13"/>
        <v>1152.7142614707452</v>
      </c>
      <c r="K24" s="1">
        <f t="shared" si="13"/>
        <v>1291.0009640975125</v>
      </c>
      <c r="L24" s="1">
        <f t="shared" si="13"/>
        <v>1435.4932129686042</v>
      </c>
      <c r="M24" s="1">
        <f t="shared" si="13"/>
        <v>1586.4997810112607</v>
      </c>
      <c r="N24" s="1">
        <f t="shared" si="13"/>
        <v>1744.3449593273965</v>
      </c>
      <c r="O24" s="1">
        <f t="shared" si="13"/>
        <v>1909.3693340470479</v>
      </c>
      <c r="P24" s="1">
        <f t="shared" si="13"/>
        <v>2081.930601924314</v>
      </c>
      <c r="Q24" s="1">
        <f t="shared" si="13"/>
        <v>2262.4044266034066</v>
      </c>
      <c r="R24" s="1">
        <f t="shared" si="13"/>
        <v>2374.6571147561217</v>
      </c>
      <c r="S24" s="1">
        <f t="shared" si="13"/>
        <v>2492.479393318642</v>
      </c>
      <c r="T24" s="1">
        <f t="shared" si="13"/>
        <v>2616.147606117057</v>
      </c>
      <c r="U24" s="1">
        <f t="shared" si="13"/>
        <v>2745.9518082029863</v>
      </c>
      <c r="V24" s="1">
        <f t="shared" si="13"/>
        <v>2882.1964461572015</v>
      </c>
      <c r="W24" s="1">
        <f t="shared" si="13"/>
        <v>3025.201072147559</v>
      </c>
      <c r="X24" s="1">
        <f t="shared" si="13"/>
        <v>3175.3010934160238</v>
      </c>
      <c r="Y24" s="1">
        <f t="shared" si="13"/>
        <v>3332.8485589526472</v>
      </c>
      <c r="Z24" s="1">
        <f t="shared" si="13"/>
        <v>3498.2129852015887</v>
      </c>
      <c r="AA24" s="1">
        <f t="shared" si="13"/>
        <v>3671.7822227358165</v>
      </c>
      <c r="AB24" s="1">
        <f t="shared" si="13"/>
        <v>3853.9633659332076</v>
      </c>
      <c r="AC24" s="1">
        <f t="shared" si="13"/>
        <v>4045.1837077876426</v>
      </c>
      <c r="AD24" s="1">
        <f t="shared" si="13"/>
        <v>4245.8917420945108</v>
      </c>
      <c r="AE24" s="1">
        <f t="shared" si="13"/>
        <v>4456.5582153612186</v>
      </c>
    </row>
    <row r="26" spans="1:31" x14ac:dyDescent="0.25">
      <c r="A26" t="s">
        <v>51</v>
      </c>
      <c r="B26" s="1">
        <f>B24</f>
        <v>237.52411575562701</v>
      </c>
      <c r="C26" s="1">
        <f t="shared" ref="C26:AE26" si="14">C24</f>
        <v>335.45837826884645</v>
      </c>
      <c r="D26" s="1">
        <f t="shared" si="14"/>
        <v>437.79524261900394</v>
      </c>
      <c r="E26" s="1">
        <f t="shared" si="14"/>
        <v>544.55282228098747</v>
      </c>
      <c r="F26" s="1">
        <f t="shared" si="14"/>
        <v>655.95012505810973</v>
      </c>
      <c r="G26" s="1">
        <f t="shared" si="14"/>
        <v>772.21717994027131</v>
      </c>
      <c r="H26" s="1">
        <f t="shared" si="14"/>
        <v>893.59558958728564</v>
      </c>
      <c r="I26" s="1">
        <f t="shared" si="14"/>
        <v>1020.3391103884062</v>
      </c>
      <c r="J26" s="1">
        <f t="shared" si="14"/>
        <v>1152.7142614707452</v>
      </c>
      <c r="K26" s="1">
        <f t="shared" si="14"/>
        <v>1291.0009640975125</v>
      </c>
      <c r="L26" s="1">
        <f t="shared" si="14"/>
        <v>1435.4932129686042</v>
      </c>
      <c r="M26" s="1">
        <f t="shared" si="14"/>
        <v>1586.4997810112607</v>
      </c>
      <c r="N26" s="1">
        <f t="shared" si="14"/>
        <v>1744.3449593273965</v>
      </c>
      <c r="O26" s="1">
        <f t="shared" si="14"/>
        <v>1909.3693340470479</v>
      </c>
      <c r="P26" s="1">
        <f t="shared" si="14"/>
        <v>2081.930601924314</v>
      </c>
      <c r="Q26" s="1">
        <f t="shared" si="14"/>
        <v>2262.4044266034066</v>
      </c>
      <c r="R26" s="1">
        <f t="shared" si="14"/>
        <v>2374.6571147561217</v>
      </c>
      <c r="S26" s="1">
        <f t="shared" si="14"/>
        <v>2492.479393318642</v>
      </c>
      <c r="T26" s="1">
        <f t="shared" si="14"/>
        <v>2616.147606117057</v>
      </c>
      <c r="U26" s="1">
        <f t="shared" si="14"/>
        <v>2745.9518082029863</v>
      </c>
      <c r="V26" s="1">
        <f t="shared" si="14"/>
        <v>2882.1964461572015</v>
      </c>
      <c r="W26" s="1">
        <f t="shared" si="14"/>
        <v>3025.201072147559</v>
      </c>
      <c r="X26" s="1">
        <f t="shared" si="14"/>
        <v>3175.3010934160238</v>
      </c>
      <c r="Y26" s="1">
        <f t="shared" si="14"/>
        <v>3332.8485589526472</v>
      </c>
      <c r="Z26" s="1">
        <f t="shared" si="14"/>
        <v>3498.2129852015887</v>
      </c>
      <c r="AA26" s="1">
        <f t="shared" si="14"/>
        <v>3671.7822227358165</v>
      </c>
      <c r="AB26" s="1">
        <f t="shared" si="14"/>
        <v>3853.9633659332076</v>
      </c>
      <c r="AC26" s="1">
        <f t="shared" si="14"/>
        <v>4045.1837077876426</v>
      </c>
      <c r="AD26" s="1">
        <f t="shared" si="14"/>
        <v>4245.8917420945108</v>
      </c>
      <c r="AE26" s="1">
        <f t="shared" si="14"/>
        <v>4456.5582153612186</v>
      </c>
    </row>
    <row r="27" spans="1:31" x14ac:dyDescent="0.25">
      <c r="A27" t="s">
        <v>53</v>
      </c>
      <c r="B27" s="49">
        <f>B26</f>
        <v>237.52411575562701</v>
      </c>
      <c r="C27" s="6">
        <f>IF(C26&lt;0,B27+C26,B27)</f>
        <v>237.52411575562701</v>
      </c>
      <c r="D27" s="6">
        <f t="shared" ref="D27:AE27" si="15">IF(D26&lt;0,C27+D26,C27)</f>
        <v>237.52411575562701</v>
      </c>
      <c r="E27" s="6">
        <f t="shared" si="15"/>
        <v>237.52411575562701</v>
      </c>
      <c r="F27" s="6">
        <f t="shared" si="15"/>
        <v>237.52411575562701</v>
      </c>
      <c r="G27" s="6">
        <f t="shared" si="15"/>
        <v>237.52411575562701</v>
      </c>
      <c r="H27" s="6">
        <f t="shared" si="15"/>
        <v>237.52411575562701</v>
      </c>
      <c r="I27" s="6">
        <f t="shared" si="15"/>
        <v>237.52411575562701</v>
      </c>
      <c r="J27" s="6">
        <f t="shared" si="15"/>
        <v>237.52411575562701</v>
      </c>
      <c r="K27" s="6">
        <f t="shared" si="15"/>
        <v>237.52411575562701</v>
      </c>
      <c r="L27" s="6">
        <f t="shared" si="15"/>
        <v>237.52411575562701</v>
      </c>
      <c r="M27" s="6">
        <f t="shared" si="15"/>
        <v>237.52411575562701</v>
      </c>
      <c r="N27" s="6">
        <f t="shared" si="15"/>
        <v>237.52411575562701</v>
      </c>
      <c r="O27" s="6">
        <f t="shared" si="15"/>
        <v>237.52411575562701</v>
      </c>
      <c r="P27" s="6">
        <f t="shared" si="15"/>
        <v>237.52411575562701</v>
      </c>
      <c r="Q27" s="6">
        <f t="shared" si="15"/>
        <v>237.52411575562701</v>
      </c>
      <c r="R27" s="6">
        <f t="shared" si="15"/>
        <v>237.52411575562701</v>
      </c>
      <c r="S27" s="6">
        <f t="shared" si="15"/>
        <v>237.52411575562701</v>
      </c>
      <c r="T27" s="6">
        <f t="shared" si="15"/>
        <v>237.52411575562701</v>
      </c>
      <c r="U27" s="6">
        <f t="shared" si="15"/>
        <v>237.52411575562701</v>
      </c>
      <c r="V27" s="6">
        <f t="shared" si="15"/>
        <v>237.52411575562701</v>
      </c>
      <c r="W27" s="6">
        <f t="shared" si="15"/>
        <v>237.52411575562701</v>
      </c>
      <c r="X27" s="6">
        <f t="shared" si="15"/>
        <v>237.52411575562701</v>
      </c>
      <c r="Y27" s="6">
        <f t="shared" si="15"/>
        <v>237.52411575562701</v>
      </c>
      <c r="Z27" s="6">
        <f t="shared" si="15"/>
        <v>237.52411575562701</v>
      </c>
      <c r="AA27" s="6">
        <f t="shared" si="15"/>
        <v>237.52411575562701</v>
      </c>
      <c r="AB27" s="6">
        <f t="shared" si="15"/>
        <v>237.52411575562701</v>
      </c>
      <c r="AC27" s="6">
        <f t="shared" si="15"/>
        <v>237.52411575562701</v>
      </c>
      <c r="AD27" s="6">
        <f t="shared" si="15"/>
        <v>237.52411575562701</v>
      </c>
      <c r="AE27" s="6">
        <f t="shared" si="15"/>
        <v>237.52411575562701</v>
      </c>
    </row>
    <row r="28" spans="1:31" x14ac:dyDescent="0.25">
      <c r="A28" t="s">
        <v>53</v>
      </c>
      <c r="B28" s="49">
        <f>B26</f>
        <v>237.52411575562701</v>
      </c>
      <c r="C28" s="6">
        <f>IF(C26&lt;0,B28+C26,B28)</f>
        <v>237.52411575562701</v>
      </c>
      <c r="D28" s="6">
        <f t="shared" ref="D28:AE28" si="16">C28+D26</f>
        <v>675.31935837463095</v>
      </c>
      <c r="E28" s="6">
        <f t="shared" si="16"/>
        <v>1219.8721806556184</v>
      </c>
      <c r="F28" s="6">
        <f t="shared" si="16"/>
        <v>1875.8223057137282</v>
      </c>
      <c r="G28" s="6">
        <f t="shared" si="16"/>
        <v>2648.0394856539997</v>
      </c>
      <c r="H28" s="6">
        <f t="shared" si="16"/>
        <v>3541.6350752412854</v>
      </c>
      <c r="I28" s="6">
        <f t="shared" si="16"/>
        <v>4561.9741856296914</v>
      </c>
      <c r="J28" s="6">
        <f t="shared" si="16"/>
        <v>5714.6884471004369</v>
      </c>
      <c r="K28" s="6">
        <f t="shared" si="16"/>
        <v>7005.6894111979491</v>
      </c>
      <c r="L28" s="6">
        <f t="shared" si="16"/>
        <v>8441.1826241665531</v>
      </c>
      <c r="M28" s="6">
        <f t="shared" si="16"/>
        <v>10027.682405177813</v>
      </c>
      <c r="N28" s="6">
        <f t="shared" si="16"/>
        <v>11772.027364505209</v>
      </c>
      <c r="O28" s="6">
        <f t="shared" si="16"/>
        <v>13681.396698552257</v>
      </c>
      <c r="P28" s="6">
        <f t="shared" si="16"/>
        <v>15763.327300476571</v>
      </c>
      <c r="Q28" s="6">
        <f t="shared" si="16"/>
        <v>18025.731727079976</v>
      </c>
      <c r="R28" s="6">
        <f t="shared" si="16"/>
        <v>20400.388841836098</v>
      </c>
      <c r="S28" s="6">
        <f t="shared" si="16"/>
        <v>22892.86823515474</v>
      </c>
      <c r="T28" s="6">
        <f t="shared" si="16"/>
        <v>25509.015841271797</v>
      </c>
      <c r="U28" s="6">
        <f t="shared" si="16"/>
        <v>28254.967649474784</v>
      </c>
      <c r="V28" s="6">
        <f t="shared" si="16"/>
        <v>31137.164095631986</v>
      </c>
      <c r="W28" s="6">
        <f t="shared" si="16"/>
        <v>34162.365167779542</v>
      </c>
      <c r="X28" s="6">
        <f t="shared" si="16"/>
        <v>37337.666261195569</v>
      </c>
      <c r="Y28" s="6">
        <f t="shared" si="16"/>
        <v>40670.514820148215</v>
      </c>
      <c r="Z28" s="6">
        <f t="shared" si="16"/>
        <v>44168.727805349801</v>
      </c>
      <c r="AA28" s="6">
        <f t="shared" si="16"/>
        <v>47840.51002808562</v>
      </c>
      <c r="AB28" s="6">
        <f t="shared" si="16"/>
        <v>51694.473394018831</v>
      </c>
      <c r="AC28" s="6">
        <f t="shared" si="16"/>
        <v>55739.657101806471</v>
      </c>
      <c r="AD28" s="6">
        <f t="shared" si="16"/>
        <v>59985.548843900979</v>
      </c>
      <c r="AE28" s="6">
        <f t="shared" si="16"/>
        <v>64442.107059262198</v>
      </c>
    </row>
    <row r="29" spans="1:31" x14ac:dyDescent="0.25">
      <c r="B29" s="49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</row>
    <row r="30" spans="1:31" x14ac:dyDescent="0.25">
      <c r="A30" t="s">
        <v>81</v>
      </c>
      <c r="B30" s="45">
        <f>IF(Crédit!B26&lt;0,IF((B26-Crédit!B26)&lt;0,0,(B26-Crédit!B26)/(B11*(1+$B$2))),IF(B26&lt;0,0,B26/(B11*(1+$B$2))))</f>
        <v>2.1082896844267598</v>
      </c>
      <c r="C30" s="45">
        <f>IF(Crédit!C26&lt;0,IF((C26-Crédit!C26)&lt;0,0,(C26-Crédit!C26)/(C11*(1+$B$2))),IF(C26&lt;0,0,C26/(C11*(1+$B$2))))</f>
        <v>2.163638081873235</v>
      </c>
      <c r="D30" s="45">
        <f>IF(Crédit!D26&lt;0,IF((D26-Crédit!D26)&lt;0,0,(D26-Crédit!D26)/(D11*(1+$B$2))),IF(D26&lt;0,0,D26/(D11*(1+$B$2))))</f>
        <v>2.2172095171769377</v>
      </c>
      <c r="E30" s="45">
        <f>IF(Crédit!E26&lt;0,IF((E26-Crédit!E26)&lt;0,0,(E26-Crédit!E26)/(E11*(1+$B$2))),IF(E26&lt;0,0,E26/(E11*(1+$B$2))))</f>
        <v>2.273336841822823</v>
      </c>
      <c r="F30" s="45">
        <f>IF(Crédit!F26&lt;0,IF((F26-Crédit!F26)&lt;0,0,(F26-Crédit!F26)/(F11*(1+$B$2))),IF(F26&lt;0,0,F26/(F11*(1+$B$2))))</f>
        <v>2.3321192015041281</v>
      </c>
      <c r="G30" s="45">
        <f>IF(Crédit!G26&lt;0,IF((G26-Crédit!G26)&lt;0,0,(G26-Crédit!G26)/(G11*(1+$B$2))),IF(G26&lt;0,0,G26/(G11*(1+$B$2))))</f>
        <v>2.3936597213106645</v>
      </c>
      <c r="H30" s="45">
        <f>IF(Crédit!H26&lt;0,IF((H26-Crédit!H26)&lt;0,0,(H26-Crédit!H26)/(H11*(1+$B$2))),IF(H26&lt;0,0,H26/(H11*(1+$B$2))))</f>
        <v>2.458065663320288</v>
      </c>
      <c r="I30" s="45">
        <f>IF(Crédit!I26&lt;0,IF((I26-Crédit!I26)&lt;0,0,(I26-Crédit!I26)/(I11*(1+$B$2))),IF(I26&lt;0,0,I26/(I11*(1+$B$2))))</f>
        <v>2.5254485904379873</v>
      </c>
      <c r="J30" s="45">
        <f>IF(Crédit!J26&lt;0,IF((J26-Crédit!J26)&lt;0,0,(J26-Crédit!J26)/(J11*(1+$B$2))),IF(J26&lt;0,0,J26/(J11*(1+$B$2))))</f>
        <v>2.5959245367299948</v>
      </c>
      <c r="K30" s="45">
        <f>IF(Crédit!K26&lt;0,IF((K26-Crédit!K26)&lt;0,0,(K26-Crédit!K26)/(K11*(1+$B$2))),IF(K26&lt;0,0,K26/(K11*(1+$B$2))))</f>
        <v>2.6696141845101149</v>
      </c>
      <c r="L30" s="45">
        <f>IF(Crédit!L26&lt;0,IF((L26-Crédit!L26)&lt;0,0,(L26-Crédit!L26)/(L11*(1+$B$2))),IF(L26&lt;0,0,L26/(L11*(1+$B$2))))</f>
        <v>2.746643048445641</v>
      </c>
      <c r="M30" s="45">
        <f>IF(Crédit!M26&lt;0,IF((M26-Crédit!M26)&lt;0,0,(M26-Crédit!M26)/(M11*(1+$B$2))),IF(M26&lt;0,0,M26/(M11*(1+$B$2))))</f>
        <v>2.8271416669608329</v>
      </c>
      <c r="N30" s="45">
        <f>IF(Crédit!N26&lt;0,IF((N26-Crédit!N26)&lt;0,0,(N26-Crédit!N26)/(N11*(1+$B$2))),IF(N26&lt;0,0,N26/(N11*(1+$B$2))))</f>
        <v>2.91124580122692</v>
      </c>
      <c r="O30" s="45">
        <f>IF(Crédit!O26&lt;0,IF((O26-Crédit!O26)&lt;0,0,(O26-Crédit!O26)/(O11*(1+$B$2))),IF(O26&lt;0,0,O26/(O11*(1+$B$2))))</f>
        <v>2.9990966420390466</v>
      </c>
      <c r="P30" s="45">
        <f>IF(Crédit!P26&lt;0,IF((P26-Crédit!P26)&lt;0,0,(P26-Crédit!P26)/(P11*(1+$B$2))),IF(P26&lt;0,0,P26/(P11*(1+$B$2))))</f>
        <v>3.0908410248924598</v>
      </c>
      <c r="Q30" s="45">
        <f>IF(Crédit!Q26&lt;0,IF((Q26-Crédit!Q26)&lt;0,0,(Q26-Crédit!Q26)/(Q11*(1+$B$2))),IF(Q26&lt;0,0,Q26/(Q11*(1+$B$2))))</f>
        <v>1.7259538576047502</v>
      </c>
      <c r="R30" s="45">
        <f>IF(Crédit!R26&lt;0,IF((R26-Crédit!R26)&lt;0,0,(R26-Crédit!R26)/(R11*(1+$B$2))),IF(R26&lt;0,0,R26/(R11*(1+$B$2))))</f>
        <v>1.7942798015818469</v>
      </c>
      <c r="S30" s="45">
        <f>IF(Crédit!S26&lt;0,IF((S26-Crédit!S26)&lt;0,0,(S26-Crédit!S26)/(S11*(1+$B$2))),IF(S26&lt;0,0,S26/(S11*(1+$B$2))))</f>
        <v>1.8653105887966652</v>
      </c>
      <c r="T30" s="45">
        <f>IF(Crédit!T26&lt;0,IF((T26-Crédit!T26)&lt;0,0,(T26-Crédit!T26)/(T11*(1+$B$2))),IF(T26&lt;0,0,T26/(T11*(1+$B$2))))</f>
        <v>1.9391532968322545</v>
      </c>
      <c r="U30" s="45">
        <f>IF(Crédit!U26&lt;0,IF((U26-Crédit!U26)&lt;0,0,(U26-Crédit!U26)/(U11*(1+$B$2))),IF(U26&lt;0,0,U26/(U11*(1+$B$2))))</f>
        <v>2.0159192421897028</v>
      </c>
      <c r="V30" s="45">
        <f>IF(Crédit!V26&lt;0,IF((V26-Crédit!V26)&lt;0,0,(V26-Crédit!V26)/(V11*(1+$B$2))),IF(V26&lt;0,0,V26/(V11*(1+$B$2))))</f>
        <v>2.0957241480956799</v>
      </c>
      <c r="W30" s="45">
        <f>IF(Crédit!W26&lt;0,IF((W26-Crédit!W26)&lt;0,0,(W26-Crédit!W26)/(W11*(1+$B$2))),IF(W26&lt;0,0,W26/(W11*(1+$B$2))))</f>
        <v>2.1786883189530371</v>
      </c>
      <c r="X30" s="45">
        <f>IF(Crédit!X26&lt;0,IF((X26-Crédit!X26)&lt;0,0,(X26-Crédit!X26)/(X11*(1+$B$2))),IF(X26&lt;0,0,X26/(X11*(1+$B$2))))</f>
        <v>2.2649368216974426</v>
      </c>
      <c r="Y30" s="45">
        <f>IF(Crédit!Y26&lt;0,IF((Y26-Crédit!Y26)&lt;0,0,(Y26-Crédit!Y26)/(Y11*(1+$B$2))),IF(Y26&lt;0,0,Y26/(Y11*(1+$B$2))))</f>
        <v>2.3545996743334499</v>
      </c>
      <c r="Z30" s="45">
        <f>IF(Crédit!Z26&lt;0,IF((Z26-Crédit!Z26)&lt;0,0,(Z26-Crédit!Z26)/(Z11*(1+$B$2))),IF(Z26&lt;0,0,Z26/(Z11*(1+$B$2))))</f>
        <v>2.4478120419342062</v>
      </c>
      <c r="AA30" s="45">
        <f>IF(Crédit!AA26&lt;0,IF((AA26-Crédit!AA26)&lt;0,0,(AA26-Crédit!AA26)/(AA11*(1+$B$2))),IF(AA26&lt;0,0,AA26/(AA11*(1+$B$2))))</f>
        <v>2.5447144404002731</v>
      </c>
      <c r="AB30" s="45">
        <f>IF(Crédit!AB26&lt;0,IF((AB26-Crédit!AB26)&lt;0,0,(AB26-Crédit!AB26)/(AB11*(1+$B$2))),IF(AB26&lt;0,0,AB26/(AB11*(1+$B$2))))</f>
        <v>2.6454529482847144</v>
      </c>
      <c r="AC30" s="45">
        <f>IF(Crédit!AC26&lt;0,IF((AC26-Crédit!AC26)&lt;0,0,(AC26-Crédit!AC26)/(AC11*(1+$B$2))),IF(AC26&lt;0,0,AC26/(AC11*(1+$B$2))))</f>
        <v>2.7501794270037885</v>
      </c>
      <c r="AD30" s="45">
        <f>IF(Crédit!AD26&lt;0,IF((AD26-Crédit!AD26)&lt;0,0,(AD26-Crédit!AD26)/(AD11*(1+$B$2))),IF(AD26&lt;0,0,AD26/(AD11*(1+$B$2))))</f>
        <v>2.8590517497651864</v>
      </c>
      <c r="AE30" s="45">
        <f>IF(Crédit!AE26&lt;0,IF((AE26-Crédit!AE26)&lt;0,0,(AE26-Crédit!AE26)/(AE11*(1+$B$2))),IF(AE26&lt;0,0,AE26/(AE11*(1+$B$2))))</f>
        <v>2.9722340395589462</v>
      </c>
    </row>
    <row r="31" spans="1:31" x14ac:dyDescent="0.25">
      <c r="A31" t="s">
        <v>82</v>
      </c>
      <c r="B31" s="71">
        <f>B30+B12</f>
        <v>7.3946332967615565</v>
      </c>
      <c r="C31" s="71">
        <f t="shared" ref="C31:AE31" si="17">C30+C12</f>
        <v>9.5582713786347924</v>
      </c>
      <c r="D31" s="71">
        <f t="shared" si="17"/>
        <v>11.775480895811731</v>
      </c>
      <c r="E31" s="71">
        <f t="shared" si="17"/>
        <v>14.048817737634554</v>
      </c>
      <c r="F31" s="71">
        <f t="shared" si="17"/>
        <v>16.380936939138682</v>
      </c>
      <c r="G31" s="71">
        <f t="shared" si="17"/>
        <v>18.774596660449347</v>
      </c>
      <c r="H31" s="71">
        <f t="shared" si="17"/>
        <v>21.232662323769635</v>
      </c>
      <c r="I31" s="71">
        <f t="shared" si="17"/>
        <v>23.75811091420762</v>
      </c>
      <c r="J31" s="71">
        <f t="shared" si="17"/>
        <v>26.354035450937616</v>
      </c>
      <c r="K31" s="71">
        <f t="shared" si="17"/>
        <v>29.023649635447732</v>
      </c>
      <c r="L31" s="71">
        <f t="shared" si="17"/>
        <v>31.770292683893373</v>
      </c>
      <c r="M31" s="71">
        <f t="shared" si="17"/>
        <v>34.597434350854208</v>
      </c>
      <c r="N31" s="71">
        <f t="shared" si="17"/>
        <v>37.508680152081126</v>
      </c>
      <c r="O31" s="71">
        <f t="shared" si="17"/>
        <v>40.507776794120176</v>
      </c>
      <c r="P31" s="71">
        <f t="shared" si="17"/>
        <v>43.598617819012638</v>
      </c>
      <c r="Q31" s="71">
        <f t="shared" si="17"/>
        <v>45.324571676617389</v>
      </c>
      <c r="R31" s="71">
        <f t="shared" si="17"/>
        <v>47.118851478199232</v>
      </c>
      <c r="S31" s="71">
        <f t="shared" si="17"/>
        <v>48.9841620669959</v>
      </c>
      <c r="T31" s="71">
        <f t="shared" si="17"/>
        <v>50.923315363828152</v>
      </c>
      <c r="U31" s="71">
        <f t="shared" si="17"/>
        <v>52.939234606017855</v>
      </c>
      <c r="V31" s="71">
        <f t="shared" si="17"/>
        <v>55.034958754113532</v>
      </c>
      <c r="W31" s="71">
        <f t="shared" si="17"/>
        <v>57.213647073066568</v>
      </c>
      <c r="X31" s="71">
        <f t="shared" si="17"/>
        <v>59.478583894764007</v>
      </c>
      <c r="Y31" s="71">
        <f t="shared" si="17"/>
        <v>61.833183569097457</v>
      </c>
      <c r="Z31" s="71">
        <f t="shared" si="17"/>
        <v>64.28099561103167</v>
      </c>
      <c r="AA31" s="71">
        <f t="shared" si="17"/>
        <v>66.82571005143194</v>
      </c>
      <c r="AB31" s="71">
        <f t="shared" si="17"/>
        <v>69.471162999716654</v>
      </c>
      <c r="AC31" s="71">
        <f t="shared" si="17"/>
        <v>72.22134242672044</v>
      </c>
      <c r="AD31" s="71">
        <f t="shared" si="17"/>
        <v>75.080394176485626</v>
      </c>
      <c r="AE31" s="71">
        <f t="shared" si="17"/>
        <v>78.052628216044567</v>
      </c>
    </row>
    <row r="32" spans="1:31" x14ac:dyDescent="0.25">
      <c r="B32" s="49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x14ac:dyDescent="0.25">
      <c r="B33"/>
      <c r="R33" s="6"/>
      <c r="S33" s="6"/>
      <c r="T33" s="6"/>
      <c r="U33" s="6"/>
    </row>
    <row r="34" spans="1:31" x14ac:dyDescent="0.25">
      <c r="A34" t="s">
        <v>55</v>
      </c>
      <c r="B34" s="1">
        <f>Investissement!Apport-Crédit!B27</f>
        <v>8155.3846760687484</v>
      </c>
      <c r="C34" s="1">
        <f>Investissement!Apport-Crédit!C27</f>
        <v>10299.34663008618</v>
      </c>
      <c r="D34" s="1">
        <f>Investissement!Apport-Crédit!D27</f>
        <v>12426.873800359044</v>
      </c>
      <c r="E34" s="1">
        <f>Investissement!Apport-Crédit!E27</f>
        <v>14537.95786020776</v>
      </c>
      <c r="F34" s="1">
        <f>Investissement!Apport-Crédit!F27</f>
        <v>16632.594355336863</v>
      </c>
      <c r="G34" s="1">
        <f>Investissement!Apport-Crédit!G27</f>
        <v>18710.782845197122</v>
      </c>
      <c r="H34" s="1">
        <f>Investissement!Apport-Crédit!H27</f>
        <v>20772.527048447966</v>
      </c>
      <c r="I34" s="1">
        <f>Investissement!Apport-Crédit!I27</f>
        <v>22817.834992631811</v>
      </c>
      <c r="J34" s="1">
        <f>Investissement!Apport-Crédit!J27</f>
        <v>24846.719168174808</v>
      </c>
      <c r="K34" s="1">
        <f>Investissement!Apport-Crédit!K27</f>
        <v>26859.196686831572</v>
      </c>
      <c r="L34" s="1">
        <f>Investissement!Apport-Crédit!L27</f>
        <v>28855.289444694645</v>
      </c>
      <c r="M34" s="1">
        <f>Investissement!Apport-Crédit!M27</f>
        <v>30835.024289892601</v>
      </c>
      <c r="N34" s="1">
        <f>Investissement!Apport-Crédit!N27</f>
        <v>32798.433195103986</v>
      </c>
      <c r="O34" s="1">
        <f>Investissement!Apport-Crédit!O27</f>
        <v>34745.553435017748</v>
      </c>
      <c r="P34" s="1">
        <f>Investissement!Apport-Crédit!P27</f>
        <v>36676.427768874186</v>
      </c>
      <c r="Q34" s="1">
        <f>Investissement!Apport-Crédit!Q27</f>
        <v>36676.427768874186</v>
      </c>
      <c r="R34" s="1">
        <f>Investissement!Apport-Crédit!R27</f>
        <v>36676.427768874186</v>
      </c>
      <c r="S34" s="1">
        <f>Investissement!Apport-Crédit!S27</f>
        <v>36676.427768874186</v>
      </c>
      <c r="T34" s="1">
        <f>Investissement!Apport-Crédit!T27</f>
        <v>36676.427768874186</v>
      </c>
      <c r="U34" s="1">
        <f>Investissement!Apport-Crédit!U27</f>
        <v>36676.427768874186</v>
      </c>
      <c r="V34" s="1">
        <f>Investissement!Apport-Crédit!V27</f>
        <v>36676.427768874186</v>
      </c>
      <c r="W34" s="1">
        <f>Investissement!Apport-Crédit!W27</f>
        <v>36676.427768874186</v>
      </c>
      <c r="X34" s="1">
        <f>Investissement!Apport-Crédit!X27</f>
        <v>36676.427768874186</v>
      </c>
      <c r="Y34" s="1">
        <f>Investissement!Apport-Crédit!Y27</f>
        <v>36676.427768874186</v>
      </c>
      <c r="Z34" s="1">
        <f>Investissement!Apport-Crédit!Z27</f>
        <v>36676.427768874186</v>
      </c>
      <c r="AA34" s="1">
        <f>Investissement!Apport-Crédit!AA27</f>
        <v>36676.427768874186</v>
      </c>
      <c r="AB34" s="1">
        <f>Investissement!Apport-Crédit!AB27</f>
        <v>36676.427768874186</v>
      </c>
      <c r="AC34" s="1">
        <f>Investissement!Apport-Crédit!AC27</f>
        <v>36676.427768874186</v>
      </c>
      <c r="AD34" s="1">
        <f>Investissement!Apport-Crédit!AD27</f>
        <v>36676.427768874186</v>
      </c>
      <c r="AE34" s="1">
        <f>Investissement!Apport-Crédit!AE27</f>
        <v>36676.427768874186</v>
      </c>
    </row>
    <row r="35" spans="1:31" x14ac:dyDescent="0.25">
      <c r="Q35" s="6"/>
      <c r="R35" s="6"/>
      <c r="S35" s="6"/>
      <c r="T35" s="6"/>
      <c r="U35" s="6"/>
      <c r="V35" s="6"/>
      <c r="W35" s="6"/>
    </row>
    <row r="36" spans="1:31" x14ac:dyDescent="0.25">
      <c r="A36" t="s">
        <v>52</v>
      </c>
      <c r="B36" s="1">
        <f>B11*B31</f>
        <v>7496.3458304969417</v>
      </c>
      <c r="C36" s="1">
        <f t="shared" ref="C36:AE36" si="18">C11*C31</f>
        <v>9783.2242514097597</v>
      </c>
      <c r="D36" s="1">
        <f t="shared" si="18"/>
        <v>12168.89051887045</v>
      </c>
      <c r="E36" s="1">
        <f t="shared" si="18"/>
        <v>14658.238707195122</v>
      </c>
      <c r="F36" s="1">
        <f t="shared" si="18"/>
        <v>17256.409176473251</v>
      </c>
      <c r="G36" s="1">
        <f t="shared" si="18"/>
        <v>19968.800918677796</v>
      </c>
      <c r="H36" s="1">
        <f t="shared" si="18"/>
        <v>22801.084520008906</v>
      </c>
      <c r="I36" s="1">
        <f t="shared" si="18"/>
        <v>25759.215770146329</v>
      </c>
      <c r="J36" s="1">
        <f t="shared" si="18"/>
        <v>28849.449950610102</v>
      </c>
      <c r="K36" s="1">
        <f t="shared" si="18"/>
        <v>32078.356836029601</v>
      </c>
      <c r="L36" s="1">
        <f t="shared" si="18"/>
        <v>35452.836443800807</v>
      </c>
      <c r="M36" s="1">
        <f t="shared" si="18"/>
        <v>38980.135569374914</v>
      </c>
      <c r="N36" s="1">
        <f t="shared" si="18"/>
        <v>42667.865146272212</v>
      </c>
      <c r="O36" s="1">
        <f t="shared" si="18"/>
        <v>46524.01847185794</v>
      </c>
      <c r="P36" s="1">
        <f t="shared" si="18"/>
        <v>50556.990341955934</v>
      </c>
      <c r="Q36" s="1">
        <f t="shared" si="18"/>
        <v>53065.453463784092</v>
      </c>
      <c r="R36" s="1">
        <f t="shared" si="18"/>
        <v>55698.377855775114</v>
      </c>
      <c r="S36" s="1">
        <f t="shared" si="18"/>
        <v>58461.938855981927</v>
      </c>
      <c r="T36" s="1">
        <f t="shared" si="18"/>
        <v>61362.618201387937</v>
      </c>
      <c r="U36" s="1">
        <f t="shared" si="18"/>
        <v>64407.219230363029</v>
      </c>
      <c r="V36" s="1">
        <f t="shared" si="18"/>
        <v>67602.882839412749</v>
      </c>
      <c r="W36" s="1">
        <f t="shared" si="18"/>
        <v>70957.104231646357</v>
      </c>
      <c r="X36" s="1">
        <f t="shared" si="18"/>
        <v>74477.750496245877</v>
      </c>
      <c r="Y36" s="1">
        <f t="shared" si="18"/>
        <v>78173.079060167744</v>
      </c>
      <c r="Z36" s="1">
        <f t="shared" si="18"/>
        <v>82051.757055353984</v>
      </c>
      <c r="AA36" s="1">
        <f t="shared" si="18"/>
        <v>86122.881646877606</v>
      </c>
      <c r="AB36" s="1">
        <f t="shared" si="18"/>
        <v>90396.0013697002</v>
      </c>
      <c r="AC36" s="1">
        <f t="shared" si="18"/>
        <v>94881.138524085793</v>
      </c>
      <c r="AD36" s="1">
        <f t="shared" si="18"/>
        <v>99588.812682197662</v>
      </c>
      <c r="AE36" s="1">
        <f t="shared" si="18"/>
        <v>104530.06536101129</v>
      </c>
    </row>
    <row r="37" spans="1:31" x14ac:dyDescent="0.25">
      <c r="A37" t="s">
        <v>62</v>
      </c>
      <c r="B37" s="1">
        <f>IF(B36-B13&lt;0,0,B36-B13)</f>
        <v>1496.3458304969417</v>
      </c>
      <c r="C37" s="1">
        <f t="shared" ref="C37:AE37" si="19">IF(C36-C13&lt;0,0,C36-C13)</f>
        <v>1309.3467118176723</v>
      </c>
      <c r="D37" s="1">
        <f t="shared" si="19"/>
        <v>1109.9231068349636</v>
      </c>
      <c r="E37" s="1">
        <f t="shared" si="19"/>
        <v>902.5115327491676</v>
      </c>
      <c r="F37" s="1">
        <f t="shared" si="19"/>
        <v>686.7200826810149</v>
      </c>
      <c r="G37" s="1">
        <f t="shared" si="19"/>
        <v>462.13707992666605</v>
      </c>
      <c r="H37" s="1">
        <f t="shared" si="19"/>
        <v>228.33008424506625</v>
      </c>
      <c r="I37" s="1">
        <f t="shared" si="19"/>
        <v>0</v>
      </c>
      <c r="J37" s="1">
        <f t="shared" si="19"/>
        <v>0</v>
      </c>
      <c r="K37" s="1">
        <f t="shared" si="19"/>
        <v>0</v>
      </c>
      <c r="L37" s="1">
        <f t="shared" si="19"/>
        <v>0</v>
      </c>
      <c r="M37" s="1">
        <f t="shared" si="19"/>
        <v>0</v>
      </c>
      <c r="N37" s="1">
        <f t="shared" si="19"/>
        <v>0</v>
      </c>
      <c r="O37" s="1">
        <f t="shared" si="19"/>
        <v>0</v>
      </c>
      <c r="P37" s="1">
        <f t="shared" si="19"/>
        <v>0</v>
      </c>
      <c r="Q37" s="1">
        <f t="shared" si="19"/>
        <v>0</v>
      </c>
      <c r="R37" s="1">
        <f t="shared" si="19"/>
        <v>0</v>
      </c>
      <c r="S37" s="1">
        <f t="shared" si="19"/>
        <v>0</v>
      </c>
      <c r="T37" s="1">
        <f t="shared" si="19"/>
        <v>0</v>
      </c>
      <c r="U37" s="1">
        <f t="shared" si="19"/>
        <v>0</v>
      </c>
      <c r="V37" s="1">
        <f t="shared" si="19"/>
        <v>0</v>
      </c>
      <c r="W37" s="1">
        <f t="shared" si="19"/>
        <v>0</v>
      </c>
      <c r="X37" s="1">
        <f t="shared" si="19"/>
        <v>0</v>
      </c>
      <c r="Y37" s="1">
        <f t="shared" si="19"/>
        <v>0</v>
      </c>
      <c r="Z37" s="1">
        <f t="shared" si="19"/>
        <v>0</v>
      </c>
      <c r="AA37" s="1">
        <f t="shared" si="19"/>
        <v>0</v>
      </c>
      <c r="AB37" s="1">
        <f t="shared" si="19"/>
        <v>0</v>
      </c>
      <c r="AC37" s="1">
        <f t="shared" si="19"/>
        <v>0</v>
      </c>
      <c r="AD37" s="1">
        <f t="shared" si="19"/>
        <v>0</v>
      </c>
      <c r="AE37" s="1">
        <f t="shared" si="19"/>
        <v>0</v>
      </c>
    </row>
    <row r="38" spans="1:31" x14ac:dyDescent="0.25">
      <c r="A38" t="s">
        <v>63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f>-6%*Valeur_initiale</f>
        <v>-360</v>
      </c>
      <c r="H38" s="1">
        <f t="shared" ref="H38:V38" si="20">-6%*Valeur_initiale+G38</f>
        <v>-720</v>
      </c>
      <c r="I38" s="1">
        <f t="shared" si="20"/>
        <v>-1080</v>
      </c>
      <c r="J38" s="1">
        <f t="shared" si="20"/>
        <v>-1440</v>
      </c>
      <c r="K38" s="1">
        <f t="shared" si="20"/>
        <v>-1800</v>
      </c>
      <c r="L38" s="1">
        <f t="shared" si="20"/>
        <v>-2160</v>
      </c>
      <c r="M38" s="1">
        <f t="shared" si="20"/>
        <v>-2520</v>
      </c>
      <c r="N38" s="1">
        <f t="shared" si="20"/>
        <v>-2880</v>
      </c>
      <c r="O38" s="1">
        <f t="shared" si="20"/>
        <v>-3240</v>
      </c>
      <c r="P38" s="1">
        <f t="shared" si="20"/>
        <v>-3600</v>
      </c>
      <c r="Q38" s="1">
        <f t="shared" si="20"/>
        <v>-3960</v>
      </c>
      <c r="R38" s="1">
        <f t="shared" si="20"/>
        <v>-4320</v>
      </c>
      <c r="S38" s="1">
        <f t="shared" si="20"/>
        <v>-4680</v>
      </c>
      <c r="T38" s="1">
        <f t="shared" si="20"/>
        <v>-5040</v>
      </c>
      <c r="U38" s="1">
        <f t="shared" si="20"/>
        <v>-5400</v>
      </c>
      <c r="V38" s="1">
        <f t="shared" si="20"/>
        <v>-5760</v>
      </c>
      <c r="W38" s="1">
        <f>-4%*Valeur_initiale+V38</f>
        <v>-6000</v>
      </c>
      <c r="X38" s="1">
        <f>W38</f>
        <v>-6000</v>
      </c>
      <c r="Y38" s="1">
        <f t="shared" ref="Y38:AE38" si="21">X38</f>
        <v>-6000</v>
      </c>
      <c r="Z38" s="1">
        <f t="shared" si="21"/>
        <v>-6000</v>
      </c>
      <c r="AA38" s="1">
        <f t="shared" si="21"/>
        <v>-6000</v>
      </c>
      <c r="AB38" s="1">
        <f t="shared" si="21"/>
        <v>-6000</v>
      </c>
      <c r="AC38" s="1">
        <f t="shared" si="21"/>
        <v>-6000</v>
      </c>
      <c r="AD38" s="1">
        <f t="shared" si="21"/>
        <v>-6000</v>
      </c>
      <c r="AE38" s="1">
        <f t="shared" si="21"/>
        <v>-6000</v>
      </c>
    </row>
    <row r="39" spans="1:31" x14ac:dyDescent="0.25">
      <c r="A39" t="s">
        <v>64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f>-1.6%*Valeur_initiale</f>
        <v>-96</v>
      </c>
      <c r="H39" s="1">
        <f t="shared" ref="H39:V39" si="22">-1.6%*Valeur_initiale+G39</f>
        <v>-192</v>
      </c>
      <c r="I39" s="1">
        <f t="shared" si="22"/>
        <v>-288</v>
      </c>
      <c r="J39" s="1">
        <f t="shared" si="22"/>
        <v>-384</v>
      </c>
      <c r="K39" s="1">
        <f t="shared" si="22"/>
        <v>-480</v>
      </c>
      <c r="L39" s="1">
        <f t="shared" si="22"/>
        <v>-576</v>
      </c>
      <c r="M39" s="1">
        <f t="shared" si="22"/>
        <v>-672</v>
      </c>
      <c r="N39" s="1">
        <f t="shared" si="22"/>
        <v>-768</v>
      </c>
      <c r="O39" s="1">
        <f t="shared" si="22"/>
        <v>-864</v>
      </c>
      <c r="P39" s="1">
        <f t="shared" si="22"/>
        <v>-960</v>
      </c>
      <c r="Q39" s="1">
        <f t="shared" si="22"/>
        <v>-1056</v>
      </c>
      <c r="R39" s="1">
        <f t="shared" si="22"/>
        <v>-1152</v>
      </c>
      <c r="S39" s="1">
        <f t="shared" si="22"/>
        <v>-1248</v>
      </c>
      <c r="T39" s="1">
        <f t="shared" si="22"/>
        <v>-1344</v>
      </c>
      <c r="U39" s="1">
        <f t="shared" si="22"/>
        <v>-1440</v>
      </c>
      <c r="V39" s="1">
        <f t="shared" si="22"/>
        <v>-1536</v>
      </c>
      <c r="W39" s="1">
        <f t="shared" ref="W39:AE39" si="23">-9%*Valeur_initiale+V39</f>
        <v>-2076</v>
      </c>
      <c r="X39" s="1">
        <f t="shared" si="23"/>
        <v>-2616</v>
      </c>
      <c r="Y39" s="1">
        <f t="shared" si="23"/>
        <v>-3156</v>
      </c>
      <c r="Z39" s="1">
        <f t="shared" si="23"/>
        <v>-3696</v>
      </c>
      <c r="AA39" s="1">
        <f t="shared" si="23"/>
        <v>-4236</v>
      </c>
      <c r="AB39" s="1">
        <f t="shared" si="23"/>
        <v>-4776</v>
      </c>
      <c r="AC39" s="1">
        <f t="shared" si="23"/>
        <v>-5316</v>
      </c>
      <c r="AD39" s="1">
        <f t="shared" si="23"/>
        <v>-5856</v>
      </c>
      <c r="AE39" s="1">
        <f t="shared" si="23"/>
        <v>-6396</v>
      </c>
    </row>
    <row r="40" spans="1:31" x14ac:dyDescent="0.25">
      <c r="A40" t="s">
        <v>65</v>
      </c>
      <c r="B40" s="1">
        <f>IF(B37+B38&lt;0,0,(B37+B38)*19%)</f>
        <v>284.30570779441894</v>
      </c>
      <c r="C40" s="1">
        <f t="shared" ref="C40:AE40" si="24">IF(C37+C38&lt;0,0,(C37+C38)*19%)</f>
        <v>248.77587524535772</v>
      </c>
      <c r="D40" s="1">
        <f t="shared" si="24"/>
        <v>210.8853902986431</v>
      </c>
      <c r="E40" s="1">
        <f t="shared" si="24"/>
        <v>171.47719122234184</v>
      </c>
      <c r="F40" s="1">
        <f t="shared" si="24"/>
        <v>130.47681570939284</v>
      </c>
      <c r="G40" s="1">
        <f t="shared" si="24"/>
        <v>19.406045186066549</v>
      </c>
      <c r="H40" s="1">
        <f t="shared" si="24"/>
        <v>0</v>
      </c>
      <c r="I40" s="1">
        <f t="shared" si="24"/>
        <v>0</v>
      </c>
      <c r="J40" s="1">
        <f t="shared" si="24"/>
        <v>0</v>
      </c>
      <c r="K40" s="1">
        <f t="shared" si="24"/>
        <v>0</v>
      </c>
      <c r="L40" s="1">
        <f t="shared" si="24"/>
        <v>0</v>
      </c>
      <c r="M40" s="1">
        <f t="shared" si="24"/>
        <v>0</v>
      </c>
      <c r="N40" s="1">
        <f t="shared" si="24"/>
        <v>0</v>
      </c>
      <c r="O40" s="1">
        <f t="shared" si="24"/>
        <v>0</v>
      </c>
      <c r="P40" s="1">
        <f t="shared" si="24"/>
        <v>0</v>
      </c>
      <c r="Q40" s="1">
        <f t="shared" si="24"/>
        <v>0</v>
      </c>
      <c r="R40" s="1">
        <f t="shared" si="24"/>
        <v>0</v>
      </c>
      <c r="S40" s="1">
        <f t="shared" si="24"/>
        <v>0</v>
      </c>
      <c r="T40" s="1">
        <f t="shared" si="24"/>
        <v>0</v>
      </c>
      <c r="U40" s="1">
        <f t="shared" si="24"/>
        <v>0</v>
      </c>
      <c r="V40" s="1">
        <f t="shared" si="24"/>
        <v>0</v>
      </c>
      <c r="W40" s="1">
        <f t="shared" si="24"/>
        <v>0</v>
      </c>
      <c r="X40" s="1">
        <f t="shared" si="24"/>
        <v>0</v>
      </c>
      <c r="Y40" s="1">
        <f t="shared" si="24"/>
        <v>0</v>
      </c>
      <c r="Z40" s="1">
        <f t="shared" si="24"/>
        <v>0</v>
      </c>
      <c r="AA40" s="1">
        <f t="shared" si="24"/>
        <v>0</v>
      </c>
      <c r="AB40" s="1">
        <f t="shared" si="24"/>
        <v>0</v>
      </c>
      <c r="AC40" s="1">
        <f t="shared" si="24"/>
        <v>0</v>
      </c>
      <c r="AD40" s="1">
        <f t="shared" si="24"/>
        <v>0</v>
      </c>
      <c r="AE40" s="1">
        <f t="shared" si="24"/>
        <v>0</v>
      </c>
    </row>
    <row r="41" spans="1:31" x14ac:dyDescent="0.25">
      <c r="A41" t="s">
        <v>66</v>
      </c>
      <c r="B41" s="1">
        <f>IF(B37-B39&lt;0,0,(B37-B39)*17.2%)</f>
        <v>257.37148284547396</v>
      </c>
      <c r="C41" s="1">
        <f t="shared" ref="C41:AE41" si="25">IF(C37-C39&lt;0,0,(C37-C39)*17.2%)</f>
        <v>225.20763443263962</v>
      </c>
      <c r="D41" s="1">
        <f t="shared" si="25"/>
        <v>190.90677437561374</v>
      </c>
      <c r="E41" s="1">
        <f t="shared" si="25"/>
        <v>155.23198363285681</v>
      </c>
      <c r="F41" s="1">
        <f t="shared" si="25"/>
        <v>118.11585422113455</v>
      </c>
      <c r="G41" s="1">
        <f t="shared" si="25"/>
        <v>95.999577747386553</v>
      </c>
      <c r="H41" s="1">
        <f t="shared" si="25"/>
        <v>72.296774490151392</v>
      </c>
      <c r="I41" s="1">
        <f t="shared" si="25"/>
        <v>49.535999999999994</v>
      </c>
      <c r="J41" s="1">
        <f t="shared" si="25"/>
        <v>66.048000000000002</v>
      </c>
      <c r="K41" s="1">
        <f t="shared" si="25"/>
        <v>82.559999999999988</v>
      </c>
      <c r="L41" s="1">
        <f t="shared" si="25"/>
        <v>99.071999999999989</v>
      </c>
      <c r="M41" s="1">
        <f t="shared" si="25"/>
        <v>115.58399999999999</v>
      </c>
      <c r="N41" s="1">
        <f t="shared" si="25"/>
        <v>132.096</v>
      </c>
      <c r="O41" s="1">
        <f t="shared" si="25"/>
        <v>148.60799999999998</v>
      </c>
      <c r="P41" s="1">
        <f t="shared" si="25"/>
        <v>165.11999999999998</v>
      </c>
      <c r="Q41" s="1">
        <f t="shared" si="25"/>
        <v>181.63199999999998</v>
      </c>
      <c r="R41" s="1">
        <f t="shared" si="25"/>
        <v>198.14399999999998</v>
      </c>
      <c r="S41" s="1">
        <f t="shared" si="25"/>
        <v>214.65599999999998</v>
      </c>
      <c r="T41" s="1">
        <f t="shared" si="25"/>
        <v>231.16799999999998</v>
      </c>
      <c r="U41" s="1">
        <f t="shared" si="25"/>
        <v>247.67999999999998</v>
      </c>
      <c r="V41" s="1">
        <f t="shared" si="25"/>
        <v>264.19200000000001</v>
      </c>
      <c r="W41" s="1">
        <f t="shared" si="25"/>
        <v>357.07199999999995</v>
      </c>
      <c r="X41" s="1">
        <f t="shared" si="25"/>
        <v>449.95199999999994</v>
      </c>
      <c r="Y41" s="1">
        <f t="shared" si="25"/>
        <v>542.83199999999999</v>
      </c>
      <c r="Z41" s="1">
        <f t="shared" si="25"/>
        <v>635.71199999999999</v>
      </c>
      <c r="AA41" s="1">
        <f t="shared" si="25"/>
        <v>728.59199999999998</v>
      </c>
      <c r="AB41" s="1">
        <f t="shared" si="25"/>
        <v>821.47199999999998</v>
      </c>
      <c r="AC41" s="1">
        <f t="shared" si="25"/>
        <v>914.35199999999998</v>
      </c>
      <c r="AD41" s="1">
        <f t="shared" si="25"/>
        <v>1007.232</v>
      </c>
      <c r="AE41" s="1">
        <f t="shared" si="25"/>
        <v>1100.1119999999999</v>
      </c>
    </row>
    <row r="42" spans="1:31" x14ac:dyDescent="0.25">
      <c r="A42" t="s">
        <v>67</v>
      </c>
      <c r="B42" s="1">
        <f>B40+B41</f>
        <v>541.67719063989284</v>
      </c>
      <c r="C42" s="1">
        <f t="shared" ref="C42:AE42" si="26">C40+C41</f>
        <v>473.98350967799735</v>
      </c>
      <c r="D42" s="1">
        <f t="shared" si="26"/>
        <v>401.79216467425681</v>
      </c>
      <c r="E42" s="1">
        <f t="shared" si="26"/>
        <v>326.70917485519863</v>
      </c>
      <c r="F42" s="1">
        <f t="shared" si="26"/>
        <v>248.59266993052739</v>
      </c>
      <c r="G42" s="1">
        <f t="shared" si="26"/>
        <v>115.4056229334531</v>
      </c>
      <c r="H42" s="1">
        <f t="shared" si="26"/>
        <v>72.296774490151392</v>
      </c>
      <c r="I42" s="1">
        <f t="shared" si="26"/>
        <v>49.535999999999994</v>
      </c>
      <c r="J42" s="1">
        <f t="shared" si="26"/>
        <v>66.048000000000002</v>
      </c>
      <c r="K42" s="1">
        <f t="shared" si="26"/>
        <v>82.559999999999988</v>
      </c>
      <c r="L42" s="1">
        <f t="shared" si="26"/>
        <v>99.071999999999989</v>
      </c>
      <c r="M42" s="1">
        <f t="shared" si="26"/>
        <v>115.58399999999999</v>
      </c>
      <c r="N42" s="1">
        <f t="shared" si="26"/>
        <v>132.096</v>
      </c>
      <c r="O42" s="1">
        <f t="shared" si="26"/>
        <v>148.60799999999998</v>
      </c>
      <c r="P42" s="1">
        <f t="shared" si="26"/>
        <v>165.11999999999998</v>
      </c>
      <c r="Q42" s="1">
        <f t="shared" si="26"/>
        <v>181.63199999999998</v>
      </c>
      <c r="R42" s="1">
        <f t="shared" si="26"/>
        <v>198.14399999999998</v>
      </c>
      <c r="S42" s="1">
        <f t="shared" si="26"/>
        <v>214.65599999999998</v>
      </c>
      <c r="T42" s="1">
        <f t="shared" si="26"/>
        <v>231.16799999999998</v>
      </c>
      <c r="U42" s="1">
        <f t="shared" si="26"/>
        <v>247.67999999999998</v>
      </c>
      <c r="V42" s="1">
        <f t="shared" si="26"/>
        <v>264.19200000000001</v>
      </c>
      <c r="W42" s="1">
        <f t="shared" si="26"/>
        <v>357.07199999999995</v>
      </c>
      <c r="X42" s="1">
        <f t="shared" si="26"/>
        <v>449.95199999999994</v>
      </c>
      <c r="Y42" s="1">
        <f t="shared" si="26"/>
        <v>542.83199999999999</v>
      </c>
      <c r="Z42" s="1">
        <f t="shared" si="26"/>
        <v>635.71199999999999</v>
      </c>
      <c r="AA42" s="1">
        <f t="shared" si="26"/>
        <v>728.59199999999998</v>
      </c>
      <c r="AB42" s="1">
        <f t="shared" si="26"/>
        <v>821.47199999999998</v>
      </c>
      <c r="AC42" s="1">
        <f t="shared" si="26"/>
        <v>914.35199999999998</v>
      </c>
      <c r="AD42" s="1">
        <f t="shared" si="26"/>
        <v>1007.232</v>
      </c>
      <c r="AE42" s="1">
        <f t="shared" si="26"/>
        <v>1100.1119999999999</v>
      </c>
    </row>
    <row r="43" spans="1:31" x14ac:dyDescent="0.25">
      <c r="A43" t="s">
        <v>54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</row>
    <row r="44" spans="1:31" x14ac:dyDescent="0.25">
      <c r="A44" t="s">
        <v>56</v>
      </c>
      <c r="B44" s="1">
        <f>B36-B42</f>
        <v>6954.6686398570491</v>
      </c>
      <c r="C44" s="1">
        <f t="shared" ref="C44:AE44" si="27">C36-C42</f>
        <v>9309.2407417317627</v>
      </c>
      <c r="D44" s="1">
        <f t="shared" si="27"/>
        <v>11767.098354196194</v>
      </c>
      <c r="E44" s="1">
        <f t="shared" si="27"/>
        <v>14331.529532339922</v>
      </c>
      <c r="F44" s="1">
        <f t="shared" si="27"/>
        <v>17007.816506542724</v>
      </c>
      <c r="G44" s="1">
        <f t="shared" si="27"/>
        <v>19853.395295744343</v>
      </c>
      <c r="H44" s="1">
        <f t="shared" si="27"/>
        <v>22728.787745518755</v>
      </c>
      <c r="I44" s="1">
        <f t="shared" si="27"/>
        <v>25709.679770146329</v>
      </c>
      <c r="J44" s="1">
        <f t="shared" si="27"/>
        <v>28783.401950610103</v>
      </c>
      <c r="K44" s="1">
        <f t="shared" si="27"/>
        <v>31995.7968360296</v>
      </c>
      <c r="L44" s="1">
        <f t="shared" si="27"/>
        <v>35353.764443800806</v>
      </c>
      <c r="M44" s="1">
        <f t="shared" si="27"/>
        <v>38864.551569374911</v>
      </c>
      <c r="N44" s="1">
        <f t="shared" si="27"/>
        <v>42535.769146272214</v>
      </c>
      <c r="O44" s="1">
        <f t="shared" si="27"/>
        <v>46375.41047185794</v>
      </c>
      <c r="P44" s="1">
        <f t="shared" si="27"/>
        <v>50391.870341955932</v>
      </c>
      <c r="Q44" s="1">
        <f t="shared" si="27"/>
        <v>52883.821463784094</v>
      </c>
      <c r="R44" s="1">
        <f t="shared" si="27"/>
        <v>55500.233855775114</v>
      </c>
      <c r="S44" s="1">
        <f t="shared" si="27"/>
        <v>58247.282855981925</v>
      </c>
      <c r="T44" s="1">
        <f t="shared" si="27"/>
        <v>61131.450201387939</v>
      </c>
      <c r="U44" s="1">
        <f t="shared" si="27"/>
        <v>64159.539230363029</v>
      </c>
      <c r="V44" s="1">
        <f t="shared" si="27"/>
        <v>67338.690839412753</v>
      </c>
      <c r="W44" s="1">
        <f t="shared" si="27"/>
        <v>70600.032231646357</v>
      </c>
      <c r="X44" s="1">
        <f t="shared" si="27"/>
        <v>74027.798496245872</v>
      </c>
      <c r="Y44" s="1">
        <f t="shared" si="27"/>
        <v>77630.247060167749</v>
      </c>
      <c r="Z44" s="1">
        <f t="shared" si="27"/>
        <v>81416.045055353985</v>
      </c>
      <c r="AA44" s="1">
        <f t="shared" si="27"/>
        <v>85394.289646877602</v>
      </c>
      <c r="AB44" s="1">
        <f t="shared" si="27"/>
        <v>89574.529369700205</v>
      </c>
      <c r="AC44" s="1">
        <f t="shared" si="27"/>
        <v>93966.786524085794</v>
      </c>
      <c r="AD44" s="1">
        <f t="shared" si="27"/>
        <v>98581.580682197658</v>
      </c>
      <c r="AE44" s="1">
        <f t="shared" si="27"/>
        <v>103429.9533610113</v>
      </c>
    </row>
    <row r="45" spans="1:31" x14ac:dyDescent="0.25">
      <c r="A45" t="s">
        <v>57</v>
      </c>
      <c r="B45" s="1">
        <f>B44-B34</f>
        <v>-1200.7160362116992</v>
      </c>
      <c r="C45" s="1">
        <f t="shared" ref="C45:AE45" si="28">C44-C34</f>
        <v>-990.1058883544174</v>
      </c>
      <c r="D45" s="1">
        <f t="shared" si="28"/>
        <v>-659.77544616285013</v>
      </c>
      <c r="E45" s="1">
        <f t="shared" si="28"/>
        <v>-206.42832786783765</v>
      </c>
      <c r="F45" s="1">
        <f t="shared" si="28"/>
        <v>375.22215120586043</v>
      </c>
      <c r="G45" s="1">
        <f t="shared" si="28"/>
        <v>1142.6124505472217</v>
      </c>
      <c r="H45" s="1">
        <f t="shared" si="28"/>
        <v>1956.2606970707893</v>
      </c>
      <c r="I45" s="1">
        <f t="shared" si="28"/>
        <v>2891.8447775145178</v>
      </c>
      <c r="J45" s="1">
        <f t="shared" si="28"/>
        <v>3936.6827824352949</v>
      </c>
      <c r="K45" s="1">
        <f t="shared" si="28"/>
        <v>5136.6001491980278</v>
      </c>
      <c r="L45" s="1">
        <f t="shared" si="28"/>
        <v>6498.4749991061617</v>
      </c>
      <c r="M45" s="1">
        <f t="shared" si="28"/>
        <v>8029.5272794823104</v>
      </c>
      <c r="N45" s="1">
        <f t="shared" si="28"/>
        <v>9737.3359511682283</v>
      </c>
      <c r="O45" s="1">
        <f t="shared" si="28"/>
        <v>11629.857036840192</v>
      </c>
      <c r="P45" s="1">
        <f t="shared" si="28"/>
        <v>13715.442573081746</v>
      </c>
      <c r="Q45" s="1">
        <f t="shared" si="28"/>
        <v>16207.393694909908</v>
      </c>
      <c r="R45" s="1">
        <f t="shared" si="28"/>
        <v>18823.806086900928</v>
      </c>
      <c r="S45" s="1">
        <f t="shared" si="28"/>
        <v>21570.855087107739</v>
      </c>
      <c r="T45" s="1">
        <f t="shared" si="28"/>
        <v>24455.022432513753</v>
      </c>
      <c r="U45" s="1">
        <f t="shared" si="28"/>
        <v>27483.111461488843</v>
      </c>
      <c r="V45" s="1">
        <f t="shared" si="28"/>
        <v>30662.263070538567</v>
      </c>
      <c r="W45" s="1">
        <f t="shared" si="28"/>
        <v>33923.604462772171</v>
      </c>
      <c r="X45" s="1">
        <f t="shared" si="28"/>
        <v>37351.370727371686</v>
      </c>
      <c r="Y45" s="1">
        <f t="shared" si="28"/>
        <v>40953.819291293563</v>
      </c>
      <c r="Z45" s="1">
        <f t="shared" si="28"/>
        <v>44739.617286479799</v>
      </c>
      <c r="AA45" s="1">
        <f t="shared" si="28"/>
        <v>48717.861878003416</v>
      </c>
      <c r="AB45" s="1">
        <f t="shared" si="28"/>
        <v>52898.101600826019</v>
      </c>
      <c r="AC45" s="1">
        <f t="shared" si="28"/>
        <v>57290.358755211608</v>
      </c>
      <c r="AD45" s="1">
        <f t="shared" si="28"/>
        <v>61905.152913323473</v>
      </c>
      <c r="AE45" s="1">
        <f t="shared" si="28"/>
        <v>66753.525592137114</v>
      </c>
    </row>
    <row r="46" spans="1:31" x14ac:dyDescent="0.2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</sheetData>
  <dataConsolidate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9567A-CD82-4EA8-9D0B-8636C0613972}">
  <dimension ref="A1:AE51"/>
  <sheetViews>
    <sheetView topLeftCell="B1" workbookViewId="0">
      <selection activeCell="B17" sqref="B17"/>
    </sheetView>
  </sheetViews>
  <sheetFormatPr baseColWidth="10" defaultColWidth="8.85546875" defaultRowHeight="15" x14ac:dyDescent="0.25"/>
  <cols>
    <col min="1" max="1" width="39.140625" bestFit="1" customWidth="1"/>
    <col min="2" max="2" width="9.7109375" style="1" customWidth="1"/>
    <col min="3" max="24" width="9.7109375" customWidth="1"/>
    <col min="25" max="31" width="10.5703125" bestFit="1" customWidth="1"/>
  </cols>
  <sheetData>
    <row r="1" spans="1:31" x14ac:dyDescent="0.25">
      <c r="A1" t="s">
        <v>79</v>
      </c>
      <c r="C1" t="s">
        <v>89</v>
      </c>
    </row>
    <row r="2" spans="1:31" x14ac:dyDescent="0.25">
      <c r="A2" t="s">
        <v>35</v>
      </c>
      <c r="B2" s="47">
        <v>0.02</v>
      </c>
    </row>
    <row r="3" spans="1:31" x14ac:dyDescent="0.25">
      <c r="A3" t="s">
        <v>36</v>
      </c>
      <c r="B3" s="1">
        <v>1013.7549124687399</v>
      </c>
    </row>
    <row r="4" spans="1:31" x14ac:dyDescent="0.25">
      <c r="A4" t="s">
        <v>37</v>
      </c>
      <c r="B4" s="1">
        <f>B3*(1+B2)</f>
        <v>1034.0300107181147</v>
      </c>
    </row>
    <row r="5" spans="1:31" x14ac:dyDescent="0.25">
      <c r="A5" t="s">
        <v>38</v>
      </c>
      <c r="B5" s="46">
        <v>0.04</v>
      </c>
    </row>
    <row r="7" spans="1:31" x14ac:dyDescent="0.25">
      <c r="A7" t="s">
        <v>47</v>
      </c>
      <c r="B7" s="1">
        <f>Investissement!Apport</f>
        <v>6000</v>
      </c>
      <c r="D7" s="41"/>
    </row>
    <row r="8" spans="1:31" x14ac:dyDescent="0.25">
      <c r="A8" t="s">
        <v>46</v>
      </c>
      <c r="B8" s="45">
        <f>B7/B4</f>
        <v>5.8025395180098407</v>
      </c>
      <c r="D8" s="1"/>
    </row>
    <row r="10" spans="1:31" x14ac:dyDescent="0.25">
      <c r="B10" s="44">
        <v>1</v>
      </c>
      <c r="C10" s="44">
        <f>B10+1</f>
        <v>2</v>
      </c>
      <c r="D10" s="44">
        <f t="shared" ref="D10:AE10" si="0">C10+1</f>
        <v>3</v>
      </c>
      <c r="E10" s="44">
        <f t="shared" si="0"/>
        <v>4</v>
      </c>
      <c r="F10" s="44">
        <f t="shared" si="0"/>
        <v>5</v>
      </c>
      <c r="G10" s="44">
        <f t="shared" si="0"/>
        <v>6</v>
      </c>
      <c r="H10" s="44">
        <f t="shared" si="0"/>
        <v>7</v>
      </c>
      <c r="I10" s="44">
        <f t="shared" si="0"/>
        <v>8</v>
      </c>
      <c r="J10" s="44">
        <f t="shared" si="0"/>
        <v>9</v>
      </c>
      <c r="K10" s="44">
        <f t="shared" si="0"/>
        <v>10</v>
      </c>
      <c r="L10" s="44">
        <f t="shared" si="0"/>
        <v>11</v>
      </c>
      <c r="M10" s="44">
        <f t="shared" si="0"/>
        <v>12</v>
      </c>
      <c r="N10" s="44">
        <f t="shared" si="0"/>
        <v>13</v>
      </c>
      <c r="O10" s="44">
        <f t="shared" si="0"/>
        <v>14</v>
      </c>
      <c r="P10" s="44">
        <f t="shared" si="0"/>
        <v>15</v>
      </c>
      <c r="Q10" s="44">
        <f t="shared" si="0"/>
        <v>16</v>
      </c>
      <c r="R10" s="44">
        <f t="shared" si="0"/>
        <v>17</v>
      </c>
      <c r="S10" s="44">
        <f t="shared" si="0"/>
        <v>18</v>
      </c>
      <c r="T10" s="44">
        <f t="shared" si="0"/>
        <v>19</v>
      </c>
      <c r="U10" s="44">
        <f t="shared" si="0"/>
        <v>20</v>
      </c>
      <c r="V10" s="44">
        <f t="shared" si="0"/>
        <v>21</v>
      </c>
      <c r="W10" s="44">
        <f t="shared" si="0"/>
        <v>22</v>
      </c>
      <c r="X10" s="44">
        <f t="shared" si="0"/>
        <v>23</v>
      </c>
      <c r="Y10" s="44">
        <f t="shared" si="0"/>
        <v>24</v>
      </c>
      <c r="Z10" s="44">
        <f t="shared" si="0"/>
        <v>25</v>
      </c>
      <c r="AA10" s="44">
        <f t="shared" si="0"/>
        <v>26</v>
      </c>
      <c r="AB10" s="44">
        <f t="shared" si="0"/>
        <v>27</v>
      </c>
      <c r="AC10" s="44">
        <f t="shared" si="0"/>
        <v>28</v>
      </c>
      <c r="AD10" s="44">
        <f t="shared" si="0"/>
        <v>29</v>
      </c>
      <c r="AE10" s="44">
        <f t="shared" si="0"/>
        <v>30</v>
      </c>
    </row>
    <row r="11" spans="1:31" x14ac:dyDescent="0.25">
      <c r="A11" t="s">
        <v>34</v>
      </c>
      <c r="B11" s="47">
        <f>Comptant!B10</f>
        <v>9.6472807909677039E-3</v>
      </c>
      <c r="C11" s="47">
        <f>B11</f>
        <v>9.6472807909677039E-3</v>
      </c>
      <c r="D11" s="47">
        <f t="shared" ref="D11:AE11" si="1">C11</f>
        <v>9.6472807909677039E-3</v>
      </c>
      <c r="E11" s="47">
        <f t="shared" si="1"/>
        <v>9.6472807909677039E-3</v>
      </c>
      <c r="F11" s="47">
        <f t="shared" si="1"/>
        <v>9.6472807909677039E-3</v>
      </c>
      <c r="G11" s="47">
        <f t="shared" si="1"/>
        <v>9.6472807909677039E-3</v>
      </c>
      <c r="H11" s="47">
        <f t="shared" si="1"/>
        <v>9.6472807909677039E-3</v>
      </c>
      <c r="I11" s="47">
        <f t="shared" si="1"/>
        <v>9.6472807909677039E-3</v>
      </c>
      <c r="J11" s="47">
        <f t="shared" si="1"/>
        <v>9.6472807909677039E-3</v>
      </c>
      <c r="K11" s="47">
        <f t="shared" si="1"/>
        <v>9.6472807909677039E-3</v>
      </c>
      <c r="L11" s="47">
        <f t="shared" si="1"/>
        <v>9.6472807909677039E-3</v>
      </c>
      <c r="M11" s="47">
        <f t="shared" si="1"/>
        <v>9.6472807909677039E-3</v>
      </c>
      <c r="N11" s="47">
        <f t="shared" si="1"/>
        <v>9.6472807909677039E-3</v>
      </c>
      <c r="O11" s="47">
        <f t="shared" si="1"/>
        <v>9.6472807909677039E-3</v>
      </c>
      <c r="P11" s="47">
        <f t="shared" si="1"/>
        <v>9.6472807909677039E-3</v>
      </c>
      <c r="Q11" s="47">
        <f t="shared" si="1"/>
        <v>9.6472807909677039E-3</v>
      </c>
      <c r="R11" s="47">
        <f t="shared" si="1"/>
        <v>9.6472807909677039E-3</v>
      </c>
      <c r="S11" s="47">
        <f t="shared" si="1"/>
        <v>9.6472807909677039E-3</v>
      </c>
      <c r="T11" s="47">
        <f t="shared" si="1"/>
        <v>9.6472807909677039E-3</v>
      </c>
      <c r="U11" s="47">
        <f t="shared" si="1"/>
        <v>9.6472807909677039E-3</v>
      </c>
      <c r="V11" s="47">
        <f t="shared" si="1"/>
        <v>9.6472807909677039E-3</v>
      </c>
      <c r="W11" s="47">
        <f t="shared" si="1"/>
        <v>9.6472807909677039E-3</v>
      </c>
      <c r="X11" s="47">
        <f t="shared" si="1"/>
        <v>9.6472807909677039E-3</v>
      </c>
      <c r="Y11" s="47">
        <f t="shared" si="1"/>
        <v>9.6472807909677039E-3</v>
      </c>
      <c r="Z11" s="47">
        <f t="shared" si="1"/>
        <v>9.6472807909677039E-3</v>
      </c>
      <c r="AA11" s="47">
        <f t="shared" si="1"/>
        <v>9.6472807909677039E-3</v>
      </c>
      <c r="AB11" s="47">
        <f t="shared" si="1"/>
        <v>9.6472807909677039E-3</v>
      </c>
      <c r="AC11" s="47">
        <f t="shared" si="1"/>
        <v>9.6472807909677039E-3</v>
      </c>
      <c r="AD11" s="47">
        <f t="shared" si="1"/>
        <v>9.6472807909677039E-3</v>
      </c>
      <c r="AE11" s="47">
        <f t="shared" si="1"/>
        <v>9.6472807909677039E-3</v>
      </c>
    </row>
    <row r="12" spans="1:31" x14ac:dyDescent="0.25">
      <c r="A12" t="s">
        <v>33</v>
      </c>
      <c r="B12" s="1">
        <f>B3</f>
        <v>1013.7549124687399</v>
      </c>
      <c r="C12" s="1">
        <f>B12*(1+B11)</f>
        <v>1023.5348907625488</v>
      </c>
      <c r="D12" s="1">
        <f t="shared" ref="D12:AE12" si="2">C12*(1+C11)</f>
        <v>1033.4092192530877</v>
      </c>
      <c r="E12" s="1">
        <f t="shared" si="2"/>
        <v>1043.3788081631969</v>
      </c>
      <c r="F12" s="1">
        <f t="shared" si="2"/>
        <v>1053.4445764968925</v>
      </c>
      <c r="G12" s="1">
        <f t="shared" si="2"/>
        <v>1063.6074521240803</v>
      </c>
      <c r="H12" s="1">
        <f t="shared" si="2"/>
        <v>1073.868371866087</v>
      </c>
      <c r="I12" s="1">
        <f t="shared" si="2"/>
        <v>1084.2282815820186</v>
      </c>
      <c r="J12" s="1">
        <f t="shared" si="2"/>
        <v>1094.6881362559488</v>
      </c>
      <c r="K12" s="1">
        <f t="shared" si="2"/>
        <v>1105.2489000849512</v>
      </c>
      <c r="L12" s="1">
        <f t="shared" si="2"/>
        <v>1115.911546567979</v>
      </c>
      <c r="M12" s="1">
        <f t="shared" si="2"/>
        <v>1126.6770585956035</v>
      </c>
      <c r="N12" s="1">
        <f t="shared" si="2"/>
        <v>1137.5464285406169</v>
      </c>
      <c r="O12" s="1">
        <f t="shared" si="2"/>
        <v>1148.5206583495108</v>
      </c>
      <c r="P12" s="1">
        <f t="shared" si="2"/>
        <v>1159.6007596348356</v>
      </c>
      <c r="Q12" s="1">
        <f t="shared" si="2"/>
        <v>1170.7877537684524</v>
      </c>
      <c r="R12" s="1">
        <f t="shared" si="2"/>
        <v>1182.0826719756831</v>
      </c>
      <c r="S12" s="1">
        <f t="shared" si="2"/>
        <v>1193.4865554303699</v>
      </c>
      <c r="T12" s="1">
        <f t="shared" si="2"/>
        <v>1205.0004553508516</v>
      </c>
      <c r="U12" s="1">
        <f t="shared" si="2"/>
        <v>1216.6254330968652</v>
      </c>
      <c r="V12" s="1">
        <f t="shared" si="2"/>
        <v>1228.3625602673835</v>
      </c>
      <c r="W12" s="1">
        <f t="shared" si="2"/>
        <v>1240.2129187993951</v>
      </c>
      <c r="X12" s="1">
        <f t="shared" si="2"/>
        <v>1252.1776010676385</v>
      </c>
      <c r="Y12" s="1">
        <f t="shared" si="2"/>
        <v>1264.2577099852986</v>
      </c>
      <c r="Z12" s="1">
        <f t="shared" si="2"/>
        <v>1276.4543591056727</v>
      </c>
      <c r="AA12" s="1">
        <f t="shared" si="2"/>
        <v>1288.7686727248199</v>
      </c>
      <c r="AB12" s="1">
        <f t="shared" si="2"/>
        <v>1301.2017859851992</v>
      </c>
      <c r="AC12" s="1">
        <f t="shared" si="2"/>
        <v>1313.7548449803071</v>
      </c>
      <c r="AD12" s="1">
        <f t="shared" si="2"/>
        <v>1326.4290068603264</v>
      </c>
      <c r="AE12" s="1">
        <f t="shared" si="2"/>
        <v>1339.2254399387925</v>
      </c>
    </row>
    <row r="13" spans="1:31" x14ac:dyDescent="0.25">
      <c r="A13" t="s">
        <v>80</v>
      </c>
      <c r="B13" s="45">
        <f>B8</f>
        <v>5.8025395180098407</v>
      </c>
      <c r="C13" s="45">
        <f>B36</f>
        <v>7.9598064934302561</v>
      </c>
      <c r="D13" s="45">
        <f t="shared" ref="D13:AE13" si="3">C36</f>
        <v>10.116250215727238</v>
      </c>
      <c r="E13" s="45">
        <f t="shared" si="3"/>
        <v>12.268483572515034</v>
      </c>
      <c r="F13" s="45">
        <f t="shared" si="3"/>
        <v>14.417919129002485</v>
      </c>
      <c r="G13" s="45">
        <f t="shared" si="3"/>
        <v>16.565993489915463</v>
      </c>
      <c r="H13" s="45">
        <f t="shared" si="3"/>
        <v>18.714168374287532</v>
      </c>
      <c r="I13" s="45">
        <f t="shared" si="3"/>
        <v>20.863931721890896</v>
      </c>
      <c r="J13" s="45">
        <f t="shared" si="3"/>
        <v>23.016798832378676</v>
      </c>
      <c r="K13" s="45">
        <f t="shared" si="3"/>
        <v>25.174313538243982</v>
      </c>
      <c r="L13" s="45">
        <f t="shared" si="3"/>
        <v>27.338049412736833</v>
      </c>
      <c r="M13" s="45">
        <f t="shared" si="3"/>
        <v>29.509611013916668</v>
      </c>
      <c r="N13" s="45">
        <f t="shared" si="3"/>
        <v>31.690635166056225</v>
      </c>
      <c r="O13" s="45">
        <f t="shared" si="3"/>
        <v>33.882792279651589</v>
      </c>
      <c r="P13" s="45">
        <f t="shared" si="3"/>
        <v>36.087787711333831</v>
      </c>
      <c r="Q13" s="45">
        <f t="shared" si="3"/>
        <v>38.307363165019304</v>
      </c>
      <c r="R13" s="45">
        <f t="shared" si="3"/>
        <v>38.939989449034961</v>
      </c>
      <c r="S13" s="45">
        <f t="shared" si="3"/>
        <v>39.599076230971001</v>
      </c>
      <c r="T13" s="45">
        <f t="shared" si="3"/>
        <v>40.28542869394385</v>
      </c>
      <c r="U13" s="45">
        <f t="shared" si="3"/>
        <v>40.999878764842407</v>
      </c>
      <c r="V13" s="45">
        <f t="shared" si="3"/>
        <v>41.743285979691521</v>
      </c>
      <c r="W13" s="45">
        <f t="shared" si="3"/>
        <v>42.5165383772311</v>
      </c>
      <c r="X13" s="45">
        <f t="shared" si="3"/>
        <v>43.320553421628802</v>
      </c>
      <c r="Y13" s="45">
        <f t="shared" si="3"/>
        <v>44.156278955274118</v>
      </c>
      <c r="Z13" s="45">
        <f t="shared" si="3"/>
        <v>45.024694182632516</v>
      </c>
      <c r="AA13" s="45">
        <f t="shared" si="3"/>
        <v>45.926810686170121</v>
      </c>
      <c r="AB13" s="45">
        <f t="shared" si="3"/>
        <v>46.863673475392403</v>
      </c>
      <c r="AC13" s="45">
        <f t="shared" si="3"/>
        <v>47.83636207007423</v>
      </c>
      <c r="AD13" s="45">
        <f t="shared" si="3"/>
        <v>48.845991618793718</v>
      </c>
      <c r="AE13" s="45">
        <f t="shared" si="3"/>
        <v>49.893714053918586</v>
      </c>
    </row>
    <row r="14" spans="1:31" x14ac:dyDescent="0.25">
      <c r="A14" t="s">
        <v>0</v>
      </c>
      <c r="B14" s="1">
        <f>Investissement!Apport</f>
        <v>6000</v>
      </c>
      <c r="C14" s="80">
        <f>IF(Crédit!B26&lt;0,-Crédit!B26,0)</f>
        <v>2155.3846760687479</v>
      </c>
      <c r="D14" s="80">
        <f>IF(Crédit!C26&lt;0,-Crédit!C26,0)</f>
        <v>2143.9619540174313</v>
      </c>
      <c r="E14" s="80">
        <f>IF(Crédit!D26&lt;0,-Crédit!D26,0)</f>
        <v>2127.5271702728642</v>
      </c>
      <c r="F14" s="80">
        <f>IF(Crédit!E26&lt;0,-Crédit!E26,0)</f>
        <v>2111.0840598487157</v>
      </c>
      <c r="G14" s="80">
        <f>IF(Crédit!F26&lt;0,-Crédit!F26,0)</f>
        <v>2094.6364951291043</v>
      </c>
      <c r="H14" s="80">
        <f>IF(Crédit!G26&lt;0,-Crédit!G26,0)</f>
        <v>2078.1884898602589</v>
      </c>
      <c r="I14" s="80">
        <f>IF(Crédit!H26&lt;0,-Crédit!H26,0)</f>
        <v>2061.7442032508443</v>
      </c>
      <c r="J14" s="80">
        <f>IF(Crédit!I26&lt;0,-Crédit!I26,0)</f>
        <v>2045.3079441838468</v>
      </c>
      <c r="K14" s="80">
        <f>IF(Crédit!J26&lt;0,-Crédit!J26,0)</f>
        <v>2028.8841755429962</v>
      </c>
      <c r="L14" s="80">
        <f>IF(Crédit!K26&lt;0,-Crédit!K26,0)</f>
        <v>2012.4775186567622</v>
      </c>
      <c r="M14" s="80">
        <f>IF(Crédit!L26&lt;0,-Crédit!L26,0)</f>
        <v>1996.0927578630744</v>
      </c>
      <c r="N14" s="80">
        <f>IF(Crédit!M26&lt;0,-Crédit!M26,0)</f>
        <v>1979.7348451979565</v>
      </c>
      <c r="O14" s="80">
        <f>IF(Crédit!N26&lt;0,-Crédit!N26,0)</f>
        <v>1963.4089052113832</v>
      </c>
      <c r="P14" s="80">
        <f>IF(Crédit!O26&lt;0,-Crédit!O26,0)</f>
        <v>1947.1202399137569</v>
      </c>
      <c r="Q14" s="80">
        <f>IF(Crédit!P26&lt;0,-Crédit!P26,0)</f>
        <v>1930.8743338564432</v>
      </c>
      <c r="R14" s="80">
        <f>IF(Crédit!Q26&lt;0,-Crédit!Q26,0)</f>
        <v>0</v>
      </c>
      <c r="S14" s="80">
        <f>IF(Crédit!R26&lt;0,-Crédit!R26,0)</f>
        <v>0</v>
      </c>
      <c r="T14" s="80">
        <f>IF(Crédit!S26&lt;0,-Crédit!S26,0)</f>
        <v>0</v>
      </c>
      <c r="U14" s="80">
        <f>IF(Crédit!T26&lt;0,-Crédit!T26,0)</f>
        <v>0</v>
      </c>
      <c r="V14" s="80">
        <f>IF(Crédit!U26&lt;0,-Crédit!U26,0)</f>
        <v>0</v>
      </c>
      <c r="W14" s="80">
        <f>IF(Crédit!V26&lt;0,-Crédit!V26,0)</f>
        <v>0</v>
      </c>
      <c r="X14" s="80">
        <f>IF(Crédit!W26&lt;0,-Crédit!W26,0)</f>
        <v>0</v>
      </c>
      <c r="Y14" s="80">
        <f>IF(Crédit!X26&lt;0,-Crédit!X26,0)</f>
        <v>0</v>
      </c>
      <c r="Z14" s="80">
        <f>IF(Crédit!Y26&lt;0,-Crédit!Y26,0)</f>
        <v>0</v>
      </c>
      <c r="AA14" s="80">
        <f>IF(Crédit!Z26&lt;0,-Crédit!Z26,0)</f>
        <v>0</v>
      </c>
      <c r="AB14" s="80">
        <f>IF(Crédit!AA26&lt;0,-Crédit!AA26,0)</f>
        <v>0</v>
      </c>
      <c r="AC14" s="80">
        <f>IF(Crédit!AB26&lt;0,-Crédit!AB26,0)</f>
        <v>0</v>
      </c>
      <c r="AD14" s="80">
        <f>IF(Crédit!AC26&lt;0,-Crédit!AC26,0)</f>
        <v>0</v>
      </c>
      <c r="AE14" s="80">
        <f>IF(Crédit!AD26&lt;0,-Crédit!AD26,0)</f>
        <v>0</v>
      </c>
    </row>
    <row r="15" spans="1:31" x14ac:dyDescent="0.25">
      <c r="A15" t="s">
        <v>83</v>
      </c>
      <c r="B15" s="1">
        <f>B13*B12*(1+$B$2)</f>
        <v>6000</v>
      </c>
      <c r="C15" s="1">
        <f>B15+C14</f>
        <v>8155.3846760687484</v>
      </c>
      <c r="D15" s="1">
        <f t="shared" ref="D15:AE15" si="4">C15+D14</f>
        <v>10299.34663008618</v>
      </c>
      <c r="E15" s="1">
        <f t="shared" si="4"/>
        <v>12426.873800359044</v>
      </c>
      <c r="F15" s="1">
        <f t="shared" si="4"/>
        <v>14537.95786020776</v>
      </c>
      <c r="G15" s="1">
        <f t="shared" si="4"/>
        <v>16632.594355336863</v>
      </c>
      <c r="H15" s="1">
        <f t="shared" si="4"/>
        <v>18710.782845197122</v>
      </c>
      <c r="I15" s="1">
        <f t="shared" si="4"/>
        <v>20772.527048447966</v>
      </c>
      <c r="J15" s="1">
        <f t="shared" si="4"/>
        <v>22817.834992631811</v>
      </c>
      <c r="K15" s="1">
        <f t="shared" si="4"/>
        <v>24846.719168174808</v>
      </c>
      <c r="L15" s="1">
        <f t="shared" si="4"/>
        <v>26859.196686831572</v>
      </c>
      <c r="M15" s="1">
        <f t="shared" si="4"/>
        <v>28855.289444694645</v>
      </c>
      <c r="N15" s="1">
        <f t="shared" si="4"/>
        <v>30835.024289892601</v>
      </c>
      <c r="O15" s="1">
        <f t="shared" si="4"/>
        <v>32798.433195103986</v>
      </c>
      <c r="P15" s="1">
        <f t="shared" si="4"/>
        <v>34745.55343501774</v>
      </c>
      <c r="Q15" s="1">
        <f t="shared" si="4"/>
        <v>36676.427768874186</v>
      </c>
      <c r="R15" s="1">
        <f t="shared" si="4"/>
        <v>36676.427768874186</v>
      </c>
      <c r="S15" s="1">
        <f t="shared" si="4"/>
        <v>36676.427768874186</v>
      </c>
      <c r="T15" s="1">
        <f t="shared" si="4"/>
        <v>36676.427768874186</v>
      </c>
      <c r="U15" s="1">
        <f t="shared" si="4"/>
        <v>36676.427768874186</v>
      </c>
      <c r="V15" s="1">
        <f t="shared" si="4"/>
        <v>36676.427768874186</v>
      </c>
      <c r="W15" s="1">
        <f t="shared" si="4"/>
        <v>36676.427768874186</v>
      </c>
      <c r="X15" s="1">
        <f t="shared" si="4"/>
        <v>36676.427768874186</v>
      </c>
      <c r="Y15" s="1">
        <f t="shared" si="4"/>
        <v>36676.427768874186</v>
      </c>
      <c r="Z15" s="1">
        <f t="shared" si="4"/>
        <v>36676.427768874186</v>
      </c>
      <c r="AA15" s="1">
        <f t="shared" si="4"/>
        <v>36676.427768874186</v>
      </c>
      <c r="AB15" s="1">
        <f t="shared" si="4"/>
        <v>36676.427768874186</v>
      </c>
      <c r="AC15" s="1">
        <f t="shared" si="4"/>
        <v>36676.427768874186</v>
      </c>
      <c r="AD15" s="1">
        <f t="shared" si="4"/>
        <v>36676.427768874186</v>
      </c>
      <c r="AE15" s="1">
        <f t="shared" si="4"/>
        <v>36676.427768874186</v>
      </c>
    </row>
    <row r="17" spans="1:31" x14ac:dyDescent="0.25">
      <c r="A17" t="s">
        <v>78</v>
      </c>
      <c r="B17" s="47">
        <f>B5</f>
        <v>0.04</v>
      </c>
      <c r="C17" s="47">
        <f>B17</f>
        <v>0.04</v>
      </c>
      <c r="D17" s="47">
        <f t="shared" ref="D17:AE17" si="5">C17</f>
        <v>0.04</v>
      </c>
      <c r="E17" s="47">
        <f t="shared" si="5"/>
        <v>0.04</v>
      </c>
      <c r="F17" s="47">
        <f t="shared" si="5"/>
        <v>0.04</v>
      </c>
      <c r="G17" s="47">
        <f t="shared" si="5"/>
        <v>0.04</v>
      </c>
      <c r="H17" s="47">
        <f t="shared" si="5"/>
        <v>0.04</v>
      </c>
      <c r="I17" s="47">
        <f t="shared" si="5"/>
        <v>0.04</v>
      </c>
      <c r="J17" s="47">
        <f t="shared" si="5"/>
        <v>0.04</v>
      </c>
      <c r="K17" s="47">
        <f t="shared" si="5"/>
        <v>0.04</v>
      </c>
      <c r="L17" s="47">
        <f t="shared" si="5"/>
        <v>0.04</v>
      </c>
      <c r="M17" s="47">
        <f t="shared" si="5"/>
        <v>0.04</v>
      </c>
      <c r="N17" s="47">
        <f t="shared" si="5"/>
        <v>0.04</v>
      </c>
      <c r="O17" s="47">
        <f t="shared" si="5"/>
        <v>0.04</v>
      </c>
      <c r="P17" s="47">
        <f t="shared" si="5"/>
        <v>0.04</v>
      </c>
      <c r="Q17" s="47">
        <f t="shared" si="5"/>
        <v>0.04</v>
      </c>
      <c r="R17" s="47">
        <f t="shared" si="5"/>
        <v>0.04</v>
      </c>
      <c r="S17" s="47">
        <f t="shared" si="5"/>
        <v>0.04</v>
      </c>
      <c r="T17" s="47">
        <f t="shared" si="5"/>
        <v>0.04</v>
      </c>
      <c r="U17" s="47">
        <f t="shared" si="5"/>
        <v>0.04</v>
      </c>
      <c r="V17" s="47">
        <f t="shared" si="5"/>
        <v>0.04</v>
      </c>
      <c r="W17" s="47">
        <f t="shared" si="5"/>
        <v>0.04</v>
      </c>
      <c r="X17" s="47">
        <f t="shared" si="5"/>
        <v>0.04</v>
      </c>
      <c r="Y17" s="47">
        <f t="shared" si="5"/>
        <v>0.04</v>
      </c>
      <c r="Z17" s="47">
        <f t="shared" si="5"/>
        <v>0.04</v>
      </c>
      <c r="AA17" s="47">
        <f t="shared" si="5"/>
        <v>0.04</v>
      </c>
      <c r="AB17" s="47">
        <f t="shared" si="5"/>
        <v>0.04</v>
      </c>
      <c r="AC17" s="47">
        <f t="shared" si="5"/>
        <v>0.04</v>
      </c>
      <c r="AD17" s="47">
        <f t="shared" si="5"/>
        <v>0.04</v>
      </c>
      <c r="AE17" s="47">
        <f t="shared" si="5"/>
        <v>0.04</v>
      </c>
    </row>
    <row r="18" spans="1:31" x14ac:dyDescent="0.25">
      <c r="A18" t="s">
        <v>41</v>
      </c>
      <c r="B18" s="1">
        <f>B12*B17*B13</f>
        <v>235.29411764705884</v>
      </c>
      <c r="C18" s="1">
        <f t="shared" ref="C18:AE18" si="6">C12*C17*C13</f>
        <v>325.88558678976653</v>
      </c>
      <c r="D18" s="1">
        <f t="shared" si="6"/>
        <v>418.1690494881426</v>
      </c>
      <c r="E18" s="1">
        <f t="shared" si="6"/>
        <v>512.02703071441988</v>
      </c>
      <c r="F18" s="1">
        <f t="shared" si="6"/>
        <v>607.53914843273867</v>
      </c>
      <c r="G18" s="1">
        <f t="shared" si="6"/>
        <v>704.78856510852347</v>
      </c>
      <c r="H18" s="1">
        <f t="shared" si="6"/>
        <v>803.86214091695877</v>
      </c>
      <c r="I18" s="1">
        <f t="shared" si="6"/>
        <v>904.85059351481334</v>
      </c>
      <c r="J18" s="1">
        <f t="shared" si="6"/>
        <v>1007.8486646557885</v>
      </c>
      <c r="K18" s="1">
        <f t="shared" si="6"/>
        <v>1112.9552939415144</v>
      </c>
      <c r="L18" s="1">
        <f t="shared" si="6"/>
        <v>1220.2738000127595</v>
      </c>
      <c r="M18" s="1">
        <f t="shared" si="6"/>
        <v>1329.9120694984022</v>
      </c>
      <c r="N18" s="1">
        <f t="shared" si="6"/>
        <v>1441.9827540532376</v>
      </c>
      <c r="O18" s="1">
        <f t="shared" si="6"/>
        <v>1556.6034758298067</v>
      </c>
      <c r="P18" s="1">
        <f t="shared" si="6"/>
        <v>1673.8970417441358</v>
      </c>
      <c r="Q18" s="1">
        <f t="shared" si="6"/>
        <v>1793.9916669106121</v>
      </c>
      <c r="R18" s="1">
        <f t="shared" si="6"/>
        <v>1841.2114709848061</v>
      </c>
      <c r="S18" s="1">
        <f t="shared" si="6"/>
        <v>1890.4386035650484</v>
      </c>
      <c r="T18" s="1">
        <f t="shared" si="6"/>
        <v>1941.7583968082638</v>
      </c>
      <c r="U18" s="1">
        <f t="shared" si="6"/>
        <v>1995.2598103678145</v>
      </c>
      <c r="V18" s="1">
        <f t="shared" si="6"/>
        <v>2051.0355855994981</v>
      </c>
      <c r="W18" s="1">
        <f t="shared" si="6"/>
        <v>2109.1824063228914</v>
      </c>
      <c r="X18" s="1">
        <f t="shared" si="6"/>
        <v>2169.8010664167055</v>
      </c>
      <c r="Y18" s="1">
        <f t="shared" si="6"/>
        <v>2232.9966445386754</v>
      </c>
      <c r="Z18" s="1">
        <f t="shared" si="6"/>
        <v>2298.8786862728439</v>
      </c>
      <c r="AA18" s="1">
        <f t="shared" si="6"/>
        <v>2367.5613940199819</v>
      </c>
      <c r="AB18" s="1">
        <f t="shared" si="6"/>
        <v>2439.163824960312</v>
      </c>
      <c r="AC18" s="1">
        <f t="shared" si="6"/>
        <v>2513.8100974316885</v>
      </c>
      <c r="AD18" s="1">
        <f t="shared" si="6"/>
        <v>2591.629606080975</v>
      </c>
      <c r="AE18" s="1">
        <f t="shared" si="6"/>
        <v>2672.7572461615773</v>
      </c>
    </row>
    <row r="19" spans="1:31" x14ac:dyDescent="0.25">
      <c r="A19" t="s">
        <v>86</v>
      </c>
      <c r="B19" s="46">
        <v>0.02</v>
      </c>
      <c r="C19" s="46">
        <f>B19</f>
        <v>0.02</v>
      </c>
      <c r="D19" s="46">
        <f t="shared" ref="D19:AE19" si="7">C19</f>
        <v>0.02</v>
      </c>
      <c r="E19" s="46">
        <f t="shared" si="7"/>
        <v>0.02</v>
      </c>
      <c r="F19" s="46">
        <f t="shared" si="7"/>
        <v>0.02</v>
      </c>
      <c r="G19" s="46">
        <f t="shared" si="7"/>
        <v>0.02</v>
      </c>
      <c r="H19" s="46">
        <f t="shared" si="7"/>
        <v>0.02</v>
      </c>
      <c r="I19" s="46">
        <f t="shared" si="7"/>
        <v>0.02</v>
      </c>
      <c r="J19" s="46">
        <f t="shared" si="7"/>
        <v>0.02</v>
      </c>
      <c r="K19" s="46">
        <f t="shared" si="7"/>
        <v>0.02</v>
      </c>
      <c r="L19" s="46">
        <f t="shared" si="7"/>
        <v>0.02</v>
      </c>
      <c r="M19" s="46">
        <f t="shared" si="7"/>
        <v>0.02</v>
      </c>
      <c r="N19" s="46">
        <f t="shared" si="7"/>
        <v>0.02</v>
      </c>
      <c r="O19" s="46">
        <f t="shared" si="7"/>
        <v>0.02</v>
      </c>
      <c r="P19" s="46">
        <f t="shared" si="7"/>
        <v>0.02</v>
      </c>
      <c r="Q19" s="46">
        <f t="shared" si="7"/>
        <v>0.02</v>
      </c>
      <c r="R19" s="46">
        <f t="shared" si="7"/>
        <v>0.02</v>
      </c>
      <c r="S19" s="46">
        <f t="shared" si="7"/>
        <v>0.02</v>
      </c>
      <c r="T19" s="46">
        <f t="shared" si="7"/>
        <v>0.02</v>
      </c>
      <c r="U19" s="46">
        <f t="shared" si="7"/>
        <v>0.02</v>
      </c>
      <c r="V19" s="46">
        <f t="shared" si="7"/>
        <v>0.02</v>
      </c>
      <c r="W19" s="46">
        <f t="shared" si="7"/>
        <v>0.02</v>
      </c>
      <c r="X19" s="46">
        <f t="shared" si="7"/>
        <v>0.02</v>
      </c>
      <c r="Y19" s="46">
        <f t="shared" si="7"/>
        <v>0.02</v>
      </c>
      <c r="Z19" s="46">
        <f t="shared" si="7"/>
        <v>0.02</v>
      </c>
      <c r="AA19" s="46">
        <f t="shared" si="7"/>
        <v>0.02</v>
      </c>
      <c r="AB19" s="46">
        <f t="shared" si="7"/>
        <v>0.02</v>
      </c>
      <c r="AC19" s="46">
        <f t="shared" si="7"/>
        <v>0.02</v>
      </c>
      <c r="AD19" s="46">
        <f t="shared" si="7"/>
        <v>0.02</v>
      </c>
      <c r="AE19" s="46">
        <f t="shared" si="7"/>
        <v>0.02</v>
      </c>
    </row>
    <row r="20" spans="1:31" x14ac:dyDescent="0.25">
      <c r="A20" t="s">
        <v>87</v>
      </c>
      <c r="B20" s="1">
        <f>B19*B15</f>
        <v>120</v>
      </c>
      <c r="C20" s="1">
        <f t="shared" ref="C20:AE20" si="8">C19*C15</f>
        <v>163.10769352137498</v>
      </c>
      <c r="D20" s="1">
        <f t="shared" si="8"/>
        <v>205.98693260172359</v>
      </c>
      <c r="E20" s="1">
        <f t="shared" si="8"/>
        <v>248.53747600718089</v>
      </c>
      <c r="F20" s="1">
        <f t="shared" si="8"/>
        <v>290.7591572041552</v>
      </c>
      <c r="G20" s="1">
        <f t="shared" si="8"/>
        <v>332.65188710673726</v>
      </c>
      <c r="H20" s="1">
        <f t="shared" si="8"/>
        <v>374.21565690394243</v>
      </c>
      <c r="I20" s="1">
        <f t="shared" si="8"/>
        <v>415.45054096895933</v>
      </c>
      <c r="J20" s="1">
        <f t="shared" si="8"/>
        <v>456.35669985263621</v>
      </c>
      <c r="K20" s="1">
        <f t="shared" si="8"/>
        <v>496.93438336349618</v>
      </c>
      <c r="L20" s="1">
        <f t="shared" si="8"/>
        <v>537.1839337366315</v>
      </c>
      <c r="M20" s="1">
        <f t="shared" si="8"/>
        <v>577.10578889389296</v>
      </c>
      <c r="N20" s="1">
        <f t="shared" si="8"/>
        <v>616.70048579785202</v>
      </c>
      <c r="O20" s="1">
        <f t="shared" si="8"/>
        <v>655.9686639020797</v>
      </c>
      <c r="P20" s="1">
        <f t="shared" si="8"/>
        <v>694.9110687003548</v>
      </c>
      <c r="Q20" s="1">
        <f t="shared" si="8"/>
        <v>733.52855537748371</v>
      </c>
      <c r="R20" s="1">
        <f t="shared" si="8"/>
        <v>733.52855537748371</v>
      </c>
      <c r="S20" s="1">
        <f t="shared" si="8"/>
        <v>733.52855537748371</v>
      </c>
      <c r="T20" s="1">
        <f t="shared" si="8"/>
        <v>733.52855537748371</v>
      </c>
      <c r="U20" s="1">
        <f t="shared" si="8"/>
        <v>733.52855537748371</v>
      </c>
      <c r="V20" s="1">
        <f t="shared" si="8"/>
        <v>733.52855537748371</v>
      </c>
      <c r="W20" s="1">
        <f t="shared" si="8"/>
        <v>733.52855537748371</v>
      </c>
      <c r="X20" s="1">
        <f t="shared" si="8"/>
        <v>733.52855537748371</v>
      </c>
      <c r="Y20" s="1">
        <f t="shared" si="8"/>
        <v>733.52855537748371</v>
      </c>
      <c r="Z20" s="1">
        <f t="shared" si="8"/>
        <v>733.52855537748371</v>
      </c>
      <c r="AA20" s="1">
        <f t="shared" si="8"/>
        <v>733.52855537748371</v>
      </c>
      <c r="AB20" s="1">
        <f t="shared" si="8"/>
        <v>733.52855537748371</v>
      </c>
      <c r="AC20" s="1">
        <f t="shared" si="8"/>
        <v>733.52855537748371</v>
      </c>
      <c r="AD20" s="1">
        <f t="shared" si="8"/>
        <v>733.52855537748371</v>
      </c>
      <c r="AE20" s="1">
        <f t="shared" si="8"/>
        <v>733.52855537748371</v>
      </c>
    </row>
    <row r="21" spans="1:31" x14ac:dyDescent="0.25">
      <c r="A21" s="1" t="s">
        <v>88</v>
      </c>
      <c r="B21" s="64">
        <f>B18-B20</f>
        <v>115.29411764705884</v>
      </c>
      <c r="C21" s="64">
        <f t="shared" ref="C21:AE21" si="9">C18-C20</f>
        <v>162.77789326839155</v>
      </c>
      <c r="D21" s="64">
        <f t="shared" si="9"/>
        <v>212.18211688641901</v>
      </c>
      <c r="E21" s="64">
        <f t="shared" si="9"/>
        <v>263.48955470723899</v>
      </c>
      <c r="F21" s="64">
        <f t="shared" si="9"/>
        <v>316.77999122858347</v>
      </c>
      <c r="G21" s="64">
        <f t="shared" si="9"/>
        <v>372.13667800178621</v>
      </c>
      <c r="H21" s="64">
        <f t="shared" si="9"/>
        <v>429.64648401301633</v>
      </c>
      <c r="I21" s="64">
        <f t="shared" si="9"/>
        <v>489.40005254585401</v>
      </c>
      <c r="J21" s="64">
        <f t="shared" si="9"/>
        <v>551.49196480315231</v>
      </c>
      <c r="K21" s="64">
        <f t="shared" si="9"/>
        <v>616.02091057801817</v>
      </c>
      <c r="L21" s="64">
        <f t="shared" si="9"/>
        <v>683.08986627612796</v>
      </c>
      <c r="M21" s="64">
        <f t="shared" si="9"/>
        <v>752.8062806045092</v>
      </c>
      <c r="N21" s="64">
        <f t="shared" si="9"/>
        <v>825.28226825538559</v>
      </c>
      <c r="O21" s="64">
        <f t="shared" si="9"/>
        <v>900.63481192772701</v>
      </c>
      <c r="P21" s="64">
        <f t="shared" si="9"/>
        <v>978.98597304378097</v>
      </c>
      <c r="Q21" s="64">
        <f t="shared" si="9"/>
        <v>1060.4631115331285</v>
      </c>
      <c r="R21" s="64">
        <f t="shared" si="9"/>
        <v>1107.6829156073222</v>
      </c>
      <c r="S21" s="64">
        <f t="shared" si="9"/>
        <v>1156.9100481875648</v>
      </c>
      <c r="T21" s="64">
        <f t="shared" si="9"/>
        <v>1208.2298414307802</v>
      </c>
      <c r="U21" s="64">
        <f t="shared" si="9"/>
        <v>1261.7312549903309</v>
      </c>
      <c r="V21" s="64">
        <f t="shared" si="9"/>
        <v>1317.5070302220142</v>
      </c>
      <c r="W21" s="64">
        <f t="shared" si="9"/>
        <v>1375.6538509454076</v>
      </c>
      <c r="X21" s="64">
        <f t="shared" si="9"/>
        <v>1436.2725110392216</v>
      </c>
      <c r="Y21" s="64">
        <f t="shared" si="9"/>
        <v>1499.4680891611915</v>
      </c>
      <c r="Z21" s="64">
        <f t="shared" si="9"/>
        <v>1565.3501308953601</v>
      </c>
      <c r="AA21" s="64">
        <f t="shared" si="9"/>
        <v>1634.0328386424981</v>
      </c>
      <c r="AB21" s="64">
        <f t="shared" si="9"/>
        <v>1705.6352695828282</v>
      </c>
      <c r="AC21" s="64">
        <f t="shared" si="9"/>
        <v>1780.2815420542047</v>
      </c>
      <c r="AD21" s="64">
        <f t="shared" si="9"/>
        <v>1858.1010507034912</v>
      </c>
      <c r="AE21" s="64">
        <f t="shared" si="9"/>
        <v>1939.2286907840935</v>
      </c>
    </row>
    <row r="22" spans="1:31" x14ac:dyDescent="0.25">
      <c r="A22" t="s">
        <v>42</v>
      </c>
      <c r="B22" s="46">
        <v>0.17</v>
      </c>
      <c r="C22" s="46">
        <v>0.17</v>
      </c>
      <c r="D22" s="46">
        <v>0.17</v>
      </c>
      <c r="E22" s="46">
        <v>0.17</v>
      </c>
      <c r="F22" s="46">
        <v>0.17</v>
      </c>
      <c r="G22" s="46">
        <v>0.17</v>
      </c>
      <c r="H22" s="46">
        <v>0.17</v>
      </c>
      <c r="I22" s="46">
        <v>0.17</v>
      </c>
      <c r="J22" s="46">
        <v>0.17</v>
      </c>
      <c r="K22" s="46">
        <v>0.17</v>
      </c>
      <c r="L22" s="46">
        <v>0.17</v>
      </c>
      <c r="M22" s="46">
        <v>0.17</v>
      </c>
      <c r="N22" s="46">
        <v>0.17</v>
      </c>
      <c r="O22" s="46">
        <v>0.17</v>
      </c>
      <c r="P22" s="46">
        <v>0.17</v>
      </c>
      <c r="Q22" s="46">
        <v>0.17</v>
      </c>
      <c r="R22" s="46">
        <v>0.17</v>
      </c>
      <c r="S22" s="46">
        <v>0.17</v>
      </c>
      <c r="T22" s="46">
        <v>0.17</v>
      </c>
      <c r="U22" s="46">
        <v>0.17</v>
      </c>
      <c r="V22" s="46">
        <v>0.17</v>
      </c>
      <c r="W22" s="46">
        <v>0.17</v>
      </c>
      <c r="X22" s="46">
        <v>0.17</v>
      </c>
      <c r="Y22" s="46">
        <v>0.17</v>
      </c>
      <c r="Z22" s="46">
        <v>0.17</v>
      </c>
      <c r="AA22" s="46">
        <v>0.17</v>
      </c>
      <c r="AB22" s="46">
        <v>0.17</v>
      </c>
      <c r="AC22" s="46">
        <v>0.17</v>
      </c>
      <c r="AD22" s="46">
        <v>0.17</v>
      </c>
      <c r="AE22" s="46">
        <v>0.17</v>
      </c>
    </row>
    <row r="23" spans="1:31" x14ac:dyDescent="0.25">
      <c r="A23" t="s">
        <v>44</v>
      </c>
      <c r="B23" s="48">
        <f>B22*B18</f>
        <v>40.000000000000007</v>
      </c>
      <c r="C23" s="48">
        <f t="shared" ref="C23:AE23" si="10">C22*C18</f>
        <v>55.400549754260318</v>
      </c>
      <c r="D23" s="48">
        <f t="shared" si="10"/>
        <v>71.088738412984242</v>
      </c>
      <c r="E23" s="48">
        <f t="shared" si="10"/>
        <v>87.044595221451388</v>
      </c>
      <c r="F23" s="48">
        <f t="shared" si="10"/>
        <v>103.28165523356559</v>
      </c>
      <c r="G23" s="48">
        <f t="shared" si="10"/>
        <v>119.81405606844901</v>
      </c>
      <c r="H23" s="48">
        <f t="shared" si="10"/>
        <v>136.656563955883</v>
      </c>
      <c r="I23" s="48">
        <f t="shared" si="10"/>
        <v>153.82460089751828</v>
      </c>
      <c r="J23" s="48">
        <f t="shared" si="10"/>
        <v>171.33427299148406</v>
      </c>
      <c r="K23" s="48">
        <f t="shared" si="10"/>
        <v>189.20239997005746</v>
      </c>
      <c r="L23" s="48">
        <f t="shared" si="10"/>
        <v>207.44654600216913</v>
      </c>
      <c r="M23" s="48">
        <f t="shared" si="10"/>
        <v>226.08505181472839</v>
      </c>
      <c r="N23" s="48">
        <f t="shared" si="10"/>
        <v>245.13706818905041</v>
      </c>
      <c r="O23" s="48">
        <f t="shared" si="10"/>
        <v>264.62259089106715</v>
      </c>
      <c r="P23" s="48">
        <f t="shared" si="10"/>
        <v>284.56249709650308</v>
      </c>
      <c r="Q23" s="48">
        <f t="shared" si="10"/>
        <v>304.97858337480409</v>
      </c>
      <c r="R23" s="48">
        <f t="shared" si="10"/>
        <v>313.00595006741707</v>
      </c>
      <c r="S23" s="48">
        <f t="shared" si="10"/>
        <v>321.37456260605825</v>
      </c>
      <c r="T23" s="48">
        <f t="shared" si="10"/>
        <v>330.09892745740484</v>
      </c>
      <c r="U23" s="48">
        <f t="shared" si="10"/>
        <v>339.19416776252848</v>
      </c>
      <c r="V23" s="48">
        <f t="shared" si="10"/>
        <v>348.67604955191467</v>
      </c>
      <c r="W23" s="48">
        <f t="shared" si="10"/>
        <v>358.56100907489156</v>
      </c>
      <c r="X23" s="48">
        <f t="shared" si="10"/>
        <v>368.86618129083996</v>
      </c>
      <c r="Y23" s="48">
        <f t="shared" si="10"/>
        <v>379.60942957157482</v>
      </c>
      <c r="Z23" s="48">
        <f t="shared" si="10"/>
        <v>390.80937666638351</v>
      </c>
      <c r="AA23" s="48">
        <f t="shared" si="10"/>
        <v>402.48543698339694</v>
      </c>
      <c r="AB23" s="48">
        <f t="shared" si="10"/>
        <v>414.65785024325305</v>
      </c>
      <c r="AC23" s="48">
        <f t="shared" si="10"/>
        <v>427.34771656338705</v>
      </c>
      <c r="AD23" s="48">
        <f t="shared" si="10"/>
        <v>440.57703303376576</v>
      </c>
      <c r="AE23" s="48">
        <f t="shared" si="10"/>
        <v>454.36873184746815</v>
      </c>
    </row>
    <row r="24" spans="1:31" s="1" customFormat="1" x14ac:dyDescent="0.25">
      <c r="A24" s="1" t="s">
        <v>45</v>
      </c>
      <c r="B24" s="1">
        <f>B21-B23</f>
        <v>75.29411764705884</v>
      </c>
      <c r="C24" s="1">
        <f t="shared" ref="C24:AE24" si="11">C21-C23</f>
        <v>107.37734351413124</v>
      </c>
      <c r="D24" s="1">
        <f t="shared" si="11"/>
        <v>141.09337847343477</v>
      </c>
      <c r="E24" s="1">
        <f t="shared" si="11"/>
        <v>176.44495948578759</v>
      </c>
      <c r="F24" s="1">
        <f t="shared" si="11"/>
        <v>213.4983359950179</v>
      </c>
      <c r="G24" s="1">
        <f t="shared" si="11"/>
        <v>252.32262193333719</v>
      </c>
      <c r="H24" s="1">
        <f t="shared" si="11"/>
        <v>292.9899200571333</v>
      </c>
      <c r="I24" s="1">
        <f t="shared" si="11"/>
        <v>335.57545164833573</v>
      </c>
      <c r="J24" s="1">
        <f t="shared" si="11"/>
        <v>380.15769181166826</v>
      </c>
      <c r="K24" s="1">
        <f t="shared" si="11"/>
        <v>426.81851060796072</v>
      </c>
      <c r="L24" s="1">
        <f t="shared" si="11"/>
        <v>475.64332027395881</v>
      </c>
      <c r="M24" s="1">
        <f t="shared" si="11"/>
        <v>526.72122878978075</v>
      </c>
      <c r="N24" s="1">
        <f t="shared" si="11"/>
        <v>580.14520006633518</v>
      </c>
      <c r="O24" s="1">
        <f t="shared" si="11"/>
        <v>636.01222103665987</v>
      </c>
      <c r="P24" s="1">
        <f t="shared" si="11"/>
        <v>694.42347594727789</v>
      </c>
      <c r="Q24" s="1">
        <f t="shared" si="11"/>
        <v>755.48452815832445</v>
      </c>
      <c r="R24" s="1">
        <f t="shared" si="11"/>
        <v>794.67696553990515</v>
      </c>
      <c r="S24" s="1">
        <f t="shared" si="11"/>
        <v>835.53548558150658</v>
      </c>
      <c r="T24" s="1">
        <f t="shared" si="11"/>
        <v>878.1309139733753</v>
      </c>
      <c r="U24" s="1">
        <f t="shared" si="11"/>
        <v>922.53708722780243</v>
      </c>
      <c r="V24" s="1">
        <f t="shared" si="11"/>
        <v>968.83098067009951</v>
      </c>
      <c r="W24" s="1">
        <f t="shared" si="11"/>
        <v>1017.0928418705161</v>
      </c>
      <c r="X24" s="1">
        <f t="shared" si="11"/>
        <v>1067.4063297483817</v>
      </c>
      <c r="Y24" s="1">
        <f t="shared" si="11"/>
        <v>1119.8586595896168</v>
      </c>
      <c r="Z24" s="1">
        <f t="shared" si="11"/>
        <v>1174.5407542289765</v>
      </c>
      <c r="AA24" s="1">
        <f t="shared" si="11"/>
        <v>1231.5474016591011</v>
      </c>
      <c r="AB24" s="1">
        <f t="shared" si="11"/>
        <v>1290.9774193395751</v>
      </c>
      <c r="AC24" s="1">
        <f t="shared" si="11"/>
        <v>1352.9338254908175</v>
      </c>
      <c r="AD24" s="1">
        <f t="shared" si="11"/>
        <v>1417.5240176697255</v>
      </c>
      <c r="AE24" s="1">
        <f t="shared" si="11"/>
        <v>1484.8599589366254</v>
      </c>
    </row>
    <row r="26" spans="1:31" x14ac:dyDescent="0.25">
      <c r="A26" t="s">
        <v>48</v>
      </c>
      <c r="B26" s="1">
        <f>IF(B24&gt;Investissement!B10,B24-Investissement!B10,0)</f>
        <v>0</v>
      </c>
      <c r="C26" s="1">
        <f>IF(C24&gt;Investissement!C10,C24-Investissement!C10,0)</f>
        <v>0</v>
      </c>
      <c r="D26" s="1">
        <f>IF(D24&gt;Investissement!D10,D24-Investissement!D10,0)</f>
        <v>0</v>
      </c>
      <c r="E26" s="1">
        <f>IF(E24&gt;Investissement!E10,E24-Investissement!E10,0)</f>
        <v>0</v>
      </c>
      <c r="F26" s="1">
        <f>IF(F24&gt;Investissement!F10,F24-Investissement!F10,0)</f>
        <v>0</v>
      </c>
      <c r="G26" s="1">
        <f>IF(G24&gt;Investissement!G10,G24-Investissement!G10,0)</f>
        <v>0</v>
      </c>
      <c r="H26" s="1">
        <f>IF(H24&gt;Investissement!H10,H24-Investissement!H10,0)</f>
        <v>0</v>
      </c>
      <c r="I26" s="1">
        <f>IF(I24&gt;Investissement!I10,I24-Investissement!I10,0)</f>
        <v>0</v>
      </c>
      <c r="J26" s="1">
        <f>IF(J24&gt;Investissement!J10,J24-Investissement!J10,0)</f>
        <v>0</v>
      </c>
      <c r="K26" s="1">
        <f>IF(K24&gt;Investissement!K10,K24-Investissement!K10,0)</f>
        <v>0</v>
      </c>
      <c r="L26" s="1">
        <f>IF(L24&gt;Investissement!L10,L24-Investissement!L10,0)</f>
        <v>0</v>
      </c>
      <c r="M26" s="1">
        <f>IF(M24&gt;Investissement!M10,M24-Investissement!M10,0)</f>
        <v>132.96422489542357</v>
      </c>
      <c r="N26" s="1">
        <f>IF(N24&gt;Investissement!N10,N24-Investissement!N10,0)</f>
        <v>292.64133422268401</v>
      </c>
      <c r="O26" s="1">
        <f>IF(O24&gt;Investissement!O10,O24-Investissement!O10,0)</f>
        <v>457.55723452115876</v>
      </c>
      <c r="P26" s="1">
        <f>IF(P24&gt;Investissement!P10,P24-Investissement!P10,0)</f>
        <v>627.88667181101653</v>
      </c>
      <c r="Q26" s="1">
        <f>IF(Q24&gt;Investissement!Q10,Q24-Investissement!Q10,0)</f>
        <v>755.48452815832445</v>
      </c>
      <c r="R26" s="1">
        <f>IF(R24&gt;Investissement!R10,R24-Investissement!R10,0)</f>
        <v>794.67696553990515</v>
      </c>
      <c r="S26" s="1">
        <f>IF(S24&gt;Investissement!S10,S24-Investissement!S10,0)</f>
        <v>835.53548558150658</v>
      </c>
      <c r="T26" s="1">
        <f>IF(T24&gt;Investissement!T10,T24-Investissement!T10,0)</f>
        <v>878.1309139733753</v>
      </c>
      <c r="U26" s="1">
        <f>IF(U24&gt;Investissement!U10,U24-Investissement!U10,0)</f>
        <v>922.53708722780243</v>
      </c>
      <c r="V26" s="1">
        <f>IF(V24&gt;Investissement!V10,V24-Investissement!V10,0)</f>
        <v>968.83098067009951</v>
      </c>
      <c r="W26" s="1">
        <f>IF(W24&gt;Investissement!W10,W24-Investissement!W10,0)</f>
        <v>1017.0928418705161</v>
      </c>
      <c r="X26" s="1">
        <f>IF(X24&gt;Investissement!X10,X24-Investissement!X10,0)</f>
        <v>1067.4063297483817</v>
      </c>
      <c r="Y26" s="1">
        <f>IF(Y24&gt;Investissement!Y10,Y24-Investissement!Y10,0)</f>
        <v>1119.8586595896168</v>
      </c>
      <c r="Z26" s="1">
        <f>IF(Z24&gt;Investissement!Z10,Z24-Investissement!Z10,0)</f>
        <v>1174.5407542289765</v>
      </c>
      <c r="AA26" s="1">
        <f>IF(AA24&gt;Investissement!AA10,AA24-Investissement!AA10,0)</f>
        <v>1231.5474016591011</v>
      </c>
      <c r="AB26" s="1">
        <f>IF(AB24&gt;Investissement!AB10,AB24-Investissement!AB10,0)</f>
        <v>1290.9774193395751</v>
      </c>
      <c r="AC26" s="1">
        <f>IF(AC24&gt;Investissement!AC10,AC24-Investissement!AC10,0)</f>
        <v>1352.9338254908175</v>
      </c>
      <c r="AD26" s="1">
        <f>IF(AD24&gt;Investissement!AD10,AD24-Investissement!AD10,0)</f>
        <v>1417.5240176697255</v>
      </c>
      <c r="AE26" s="1">
        <f>IF(AE24&gt;Investissement!AE10,AE24-Investissement!AE10,0)</f>
        <v>1484.8599589366254</v>
      </c>
    </row>
    <row r="27" spans="1:31" x14ac:dyDescent="0.25">
      <c r="A27" t="s">
        <v>43</v>
      </c>
      <c r="B27" s="46">
        <v>0</v>
      </c>
      <c r="C27" s="43">
        <f>B27</f>
        <v>0</v>
      </c>
      <c r="D27" s="43">
        <f t="shared" ref="D27:AE27" si="12">C27</f>
        <v>0</v>
      </c>
      <c r="E27" s="43">
        <f t="shared" si="12"/>
        <v>0</v>
      </c>
      <c r="F27" s="43">
        <f t="shared" si="12"/>
        <v>0</v>
      </c>
      <c r="G27" s="43">
        <f t="shared" si="12"/>
        <v>0</v>
      </c>
      <c r="H27" s="43">
        <f t="shared" si="12"/>
        <v>0</v>
      </c>
      <c r="I27" s="43">
        <f t="shared" si="12"/>
        <v>0</v>
      </c>
      <c r="J27" s="43">
        <f t="shared" si="12"/>
        <v>0</v>
      </c>
      <c r="K27" s="43">
        <f t="shared" si="12"/>
        <v>0</v>
      </c>
      <c r="L27" s="43">
        <f t="shared" si="12"/>
        <v>0</v>
      </c>
      <c r="M27" s="43">
        <f t="shared" si="12"/>
        <v>0</v>
      </c>
      <c r="N27" s="43">
        <f t="shared" si="12"/>
        <v>0</v>
      </c>
      <c r="O27" s="43">
        <f t="shared" si="12"/>
        <v>0</v>
      </c>
      <c r="P27" s="43">
        <f t="shared" si="12"/>
        <v>0</v>
      </c>
      <c r="Q27" s="43">
        <f t="shared" si="12"/>
        <v>0</v>
      </c>
      <c r="R27" s="43">
        <f t="shared" si="12"/>
        <v>0</v>
      </c>
      <c r="S27" s="43">
        <f t="shared" si="12"/>
        <v>0</v>
      </c>
      <c r="T27" s="43">
        <f t="shared" si="12"/>
        <v>0</v>
      </c>
      <c r="U27" s="43">
        <f t="shared" si="12"/>
        <v>0</v>
      </c>
      <c r="V27" s="43">
        <f t="shared" si="12"/>
        <v>0</v>
      </c>
      <c r="W27" s="43">
        <f t="shared" si="12"/>
        <v>0</v>
      </c>
      <c r="X27" s="43">
        <f t="shared" si="12"/>
        <v>0</v>
      </c>
      <c r="Y27" s="43">
        <f t="shared" si="12"/>
        <v>0</v>
      </c>
      <c r="Z27" s="43">
        <f t="shared" si="12"/>
        <v>0</v>
      </c>
      <c r="AA27" s="43">
        <f t="shared" si="12"/>
        <v>0</v>
      </c>
      <c r="AB27" s="43">
        <f t="shared" si="12"/>
        <v>0</v>
      </c>
      <c r="AC27" s="43">
        <f t="shared" si="12"/>
        <v>0</v>
      </c>
      <c r="AD27" s="43">
        <f t="shared" si="12"/>
        <v>0</v>
      </c>
      <c r="AE27" s="43">
        <f t="shared" si="12"/>
        <v>0</v>
      </c>
    </row>
    <row r="28" spans="1:31" x14ac:dyDescent="0.25">
      <c r="A28" t="s">
        <v>49</v>
      </c>
      <c r="B28" s="1">
        <f>B26*B27</f>
        <v>0</v>
      </c>
      <c r="C28" s="1">
        <f t="shared" ref="C28:AE28" si="13">C26*C27</f>
        <v>0</v>
      </c>
      <c r="D28" s="1">
        <f t="shared" si="13"/>
        <v>0</v>
      </c>
      <c r="E28" s="1">
        <f t="shared" si="13"/>
        <v>0</v>
      </c>
      <c r="F28" s="1">
        <f t="shared" si="13"/>
        <v>0</v>
      </c>
      <c r="G28" s="1">
        <f t="shared" si="13"/>
        <v>0</v>
      </c>
      <c r="H28" s="1">
        <f t="shared" si="13"/>
        <v>0</v>
      </c>
      <c r="I28" s="1">
        <f t="shared" si="13"/>
        <v>0</v>
      </c>
      <c r="J28" s="1">
        <f t="shared" si="13"/>
        <v>0</v>
      </c>
      <c r="K28" s="1">
        <f t="shared" si="13"/>
        <v>0</v>
      </c>
      <c r="L28" s="1">
        <f t="shared" si="13"/>
        <v>0</v>
      </c>
      <c r="M28" s="1">
        <f t="shared" si="13"/>
        <v>0</v>
      </c>
      <c r="N28" s="1">
        <f t="shared" si="13"/>
        <v>0</v>
      </c>
      <c r="O28" s="1">
        <f t="shared" si="13"/>
        <v>0</v>
      </c>
      <c r="P28" s="1">
        <f t="shared" si="13"/>
        <v>0</v>
      </c>
      <c r="Q28" s="1">
        <f t="shared" si="13"/>
        <v>0</v>
      </c>
      <c r="R28" s="1">
        <f t="shared" si="13"/>
        <v>0</v>
      </c>
      <c r="S28" s="1">
        <f t="shared" si="13"/>
        <v>0</v>
      </c>
      <c r="T28" s="1">
        <f t="shared" si="13"/>
        <v>0</v>
      </c>
      <c r="U28" s="1">
        <f t="shared" si="13"/>
        <v>0</v>
      </c>
      <c r="V28" s="1">
        <f t="shared" si="13"/>
        <v>0</v>
      </c>
      <c r="W28" s="1">
        <f t="shared" si="13"/>
        <v>0</v>
      </c>
      <c r="X28" s="1">
        <f t="shared" si="13"/>
        <v>0</v>
      </c>
      <c r="Y28" s="1">
        <f t="shared" si="13"/>
        <v>0</v>
      </c>
      <c r="Z28" s="1">
        <f t="shared" si="13"/>
        <v>0</v>
      </c>
      <c r="AA28" s="1">
        <f t="shared" si="13"/>
        <v>0</v>
      </c>
      <c r="AB28" s="1">
        <f t="shared" si="13"/>
        <v>0</v>
      </c>
      <c r="AC28" s="1">
        <f t="shared" si="13"/>
        <v>0</v>
      </c>
      <c r="AD28" s="1">
        <f t="shared" si="13"/>
        <v>0</v>
      </c>
      <c r="AE28" s="1">
        <f t="shared" si="13"/>
        <v>0</v>
      </c>
    </row>
    <row r="29" spans="1:31" x14ac:dyDescent="0.25">
      <c r="A29" t="s">
        <v>50</v>
      </c>
      <c r="B29" s="1">
        <f>B24-B28</f>
        <v>75.29411764705884</v>
      </c>
      <c r="C29" s="1">
        <f t="shared" ref="C29:AE29" si="14">C24-C28</f>
        <v>107.37734351413124</v>
      </c>
      <c r="D29" s="1">
        <f t="shared" si="14"/>
        <v>141.09337847343477</v>
      </c>
      <c r="E29" s="1">
        <f t="shared" si="14"/>
        <v>176.44495948578759</v>
      </c>
      <c r="F29" s="1">
        <f t="shared" si="14"/>
        <v>213.4983359950179</v>
      </c>
      <c r="G29" s="1">
        <f t="shared" si="14"/>
        <v>252.32262193333719</v>
      </c>
      <c r="H29" s="1">
        <f t="shared" si="14"/>
        <v>292.9899200571333</v>
      </c>
      <c r="I29" s="1">
        <f t="shared" si="14"/>
        <v>335.57545164833573</v>
      </c>
      <c r="J29" s="1">
        <f t="shared" si="14"/>
        <v>380.15769181166826</v>
      </c>
      <c r="K29" s="1">
        <f t="shared" si="14"/>
        <v>426.81851060796072</v>
      </c>
      <c r="L29" s="1">
        <f t="shared" si="14"/>
        <v>475.64332027395881</v>
      </c>
      <c r="M29" s="1">
        <f t="shared" si="14"/>
        <v>526.72122878978075</v>
      </c>
      <c r="N29" s="1">
        <f t="shared" si="14"/>
        <v>580.14520006633518</v>
      </c>
      <c r="O29" s="1">
        <f t="shared" si="14"/>
        <v>636.01222103665987</v>
      </c>
      <c r="P29" s="1">
        <f t="shared" si="14"/>
        <v>694.42347594727789</v>
      </c>
      <c r="Q29" s="1">
        <f t="shared" si="14"/>
        <v>755.48452815832445</v>
      </c>
      <c r="R29" s="1">
        <f t="shared" si="14"/>
        <v>794.67696553990515</v>
      </c>
      <c r="S29" s="1">
        <f t="shared" si="14"/>
        <v>835.53548558150658</v>
      </c>
      <c r="T29" s="1">
        <f t="shared" si="14"/>
        <v>878.1309139733753</v>
      </c>
      <c r="U29" s="1">
        <f t="shared" si="14"/>
        <v>922.53708722780243</v>
      </c>
      <c r="V29" s="1">
        <f t="shared" si="14"/>
        <v>968.83098067009951</v>
      </c>
      <c r="W29" s="1">
        <f t="shared" si="14"/>
        <v>1017.0928418705161</v>
      </c>
      <c r="X29" s="1">
        <f t="shared" si="14"/>
        <v>1067.4063297483817</v>
      </c>
      <c r="Y29" s="1">
        <f t="shared" si="14"/>
        <v>1119.8586595896168</v>
      </c>
      <c r="Z29" s="1">
        <f t="shared" si="14"/>
        <v>1174.5407542289765</v>
      </c>
      <c r="AA29" s="1">
        <f t="shared" si="14"/>
        <v>1231.5474016591011</v>
      </c>
      <c r="AB29" s="1">
        <f t="shared" si="14"/>
        <v>1290.9774193395751</v>
      </c>
      <c r="AC29" s="1">
        <f t="shared" si="14"/>
        <v>1352.9338254908175</v>
      </c>
      <c r="AD29" s="1">
        <f t="shared" si="14"/>
        <v>1417.5240176697255</v>
      </c>
      <c r="AE29" s="1">
        <f t="shared" si="14"/>
        <v>1484.8599589366254</v>
      </c>
    </row>
    <row r="31" spans="1:31" x14ac:dyDescent="0.25">
      <c r="A31" t="s">
        <v>51</v>
      </c>
      <c r="B31" s="1">
        <f>B29</f>
        <v>75.29411764705884</v>
      </c>
      <c r="C31" s="1">
        <f t="shared" ref="C31:AE31" si="15">C29</f>
        <v>107.37734351413124</v>
      </c>
      <c r="D31" s="1">
        <f t="shared" si="15"/>
        <v>141.09337847343477</v>
      </c>
      <c r="E31" s="1">
        <f t="shared" si="15"/>
        <v>176.44495948578759</v>
      </c>
      <c r="F31" s="1">
        <f t="shared" si="15"/>
        <v>213.4983359950179</v>
      </c>
      <c r="G31" s="1">
        <f t="shared" si="15"/>
        <v>252.32262193333719</v>
      </c>
      <c r="H31" s="1">
        <f t="shared" si="15"/>
        <v>292.9899200571333</v>
      </c>
      <c r="I31" s="1">
        <f t="shared" si="15"/>
        <v>335.57545164833573</v>
      </c>
      <c r="J31" s="1">
        <f t="shared" si="15"/>
        <v>380.15769181166826</v>
      </c>
      <c r="K31" s="1">
        <f t="shared" si="15"/>
        <v>426.81851060796072</v>
      </c>
      <c r="L31" s="1">
        <f t="shared" si="15"/>
        <v>475.64332027395881</v>
      </c>
      <c r="M31" s="1">
        <f t="shared" si="15"/>
        <v>526.72122878978075</v>
      </c>
      <c r="N31" s="1">
        <f t="shared" si="15"/>
        <v>580.14520006633518</v>
      </c>
      <c r="O31" s="1">
        <f t="shared" si="15"/>
        <v>636.01222103665987</v>
      </c>
      <c r="P31" s="1">
        <f t="shared" si="15"/>
        <v>694.42347594727789</v>
      </c>
      <c r="Q31" s="1">
        <f t="shared" si="15"/>
        <v>755.48452815832445</v>
      </c>
      <c r="R31" s="1">
        <f t="shared" si="15"/>
        <v>794.67696553990515</v>
      </c>
      <c r="S31" s="1">
        <f t="shared" si="15"/>
        <v>835.53548558150658</v>
      </c>
      <c r="T31" s="1">
        <f t="shared" si="15"/>
        <v>878.1309139733753</v>
      </c>
      <c r="U31" s="1">
        <f t="shared" si="15"/>
        <v>922.53708722780243</v>
      </c>
      <c r="V31" s="1">
        <f t="shared" si="15"/>
        <v>968.83098067009951</v>
      </c>
      <c r="W31" s="1">
        <f t="shared" si="15"/>
        <v>1017.0928418705161</v>
      </c>
      <c r="X31" s="1">
        <f t="shared" si="15"/>
        <v>1067.4063297483817</v>
      </c>
      <c r="Y31" s="1">
        <f t="shared" si="15"/>
        <v>1119.8586595896168</v>
      </c>
      <c r="Z31" s="1">
        <f t="shared" si="15"/>
        <v>1174.5407542289765</v>
      </c>
      <c r="AA31" s="1">
        <f t="shared" si="15"/>
        <v>1231.5474016591011</v>
      </c>
      <c r="AB31" s="1">
        <f t="shared" si="15"/>
        <v>1290.9774193395751</v>
      </c>
      <c r="AC31" s="1">
        <f t="shared" si="15"/>
        <v>1352.9338254908175</v>
      </c>
      <c r="AD31" s="1">
        <f t="shared" si="15"/>
        <v>1417.5240176697255</v>
      </c>
      <c r="AE31" s="1">
        <f t="shared" si="15"/>
        <v>1484.8599589366254</v>
      </c>
    </row>
    <row r="32" spans="1:31" x14ac:dyDescent="0.25">
      <c r="A32" t="s">
        <v>53</v>
      </c>
      <c r="B32" s="49">
        <f>B31</f>
        <v>75.29411764705884</v>
      </c>
      <c r="C32" s="6">
        <f>IF(C31&lt;0,B32+C31,B32)</f>
        <v>75.29411764705884</v>
      </c>
      <c r="D32" s="6">
        <f t="shared" ref="D32:AE32" si="16">IF(D31&lt;0,C32+D31,C32)</f>
        <v>75.29411764705884</v>
      </c>
      <c r="E32" s="6">
        <f t="shared" si="16"/>
        <v>75.29411764705884</v>
      </c>
      <c r="F32" s="6">
        <f t="shared" si="16"/>
        <v>75.29411764705884</v>
      </c>
      <c r="G32" s="6">
        <f t="shared" si="16"/>
        <v>75.29411764705884</v>
      </c>
      <c r="H32" s="6">
        <f t="shared" si="16"/>
        <v>75.29411764705884</v>
      </c>
      <c r="I32" s="6">
        <f t="shared" si="16"/>
        <v>75.29411764705884</v>
      </c>
      <c r="J32" s="6">
        <f t="shared" si="16"/>
        <v>75.29411764705884</v>
      </c>
      <c r="K32" s="6">
        <f t="shared" si="16"/>
        <v>75.29411764705884</v>
      </c>
      <c r="L32" s="6">
        <f t="shared" si="16"/>
        <v>75.29411764705884</v>
      </c>
      <c r="M32" s="6">
        <f t="shared" si="16"/>
        <v>75.29411764705884</v>
      </c>
      <c r="N32" s="6">
        <f t="shared" si="16"/>
        <v>75.29411764705884</v>
      </c>
      <c r="O32" s="6">
        <f t="shared" si="16"/>
        <v>75.29411764705884</v>
      </c>
      <c r="P32" s="6">
        <f t="shared" si="16"/>
        <v>75.29411764705884</v>
      </c>
      <c r="Q32" s="6">
        <f t="shared" si="16"/>
        <v>75.29411764705884</v>
      </c>
      <c r="R32" s="6">
        <f t="shared" si="16"/>
        <v>75.29411764705884</v>
      </c>
      <c r="S32" s="6">
        <f t="shared" si="16"/>
        <v>75.29411764705884</v>
      </c>
      <c r="T32" s="6">
        <f t="shared" si="16"/>
        <v>75.29411764705884</v>
      </c>
      <c r="U32" s="6">
        <f t="shared" si="16"/>
        <v>75.29411764705884</v>
      </c>
      <c r="V32" s="6">
        <f t="shared" si="16"/>
        <v>75.29411764705884</v>
      </c>
      <c r="W32" s="6">
        <f t="shared" si="16"/>
        <v>75.29411764705884</v>
      </c>
      <c r="X32" s="6">
        <f t="shared" si="16"/>
        <v>75.29411764705884</v>
      </c>
      <c r="Y32" s="6">
        <f t="shared" si="16"/>
        <v>75.29411764705884</v>
      </c>
      <c r="Z32" s="6">
        <f t="shared" si="16"/>
        <v>75.29411764705884</v>
      </c>
      <c r="AA32" s="6">
        <f t="shared" si="16"/>
        <v>75.29411764705884</v>
      </c>
      <c r="AB32" s="6">
        <f t="shared" si="16"/>
        <v>75.29411764705884</v>
      </c>
      <c r="AC32" s="6">
        <f t="shared" si="16"/>
        <v>75.29411764705884</v>
      </c>
      <c r="AD32" s="6">
        <f t="shared" si="16"/>
        <v>75.29411764705884</v>
      </c>
      <c r="AE32" s="6">
        <f t="shared" si="16"/>
        <v>75.29411764705884</v>
      </c>
    </row>
    <row r="33" spans="1:31" x14ac:dyDescent="0.25">
      <c r="A33" t="s">
        <v>53</v>
      </c>
      <c r="B33" s="49">
        <f>B31</f>
        <v>75.29411764705884</v>
      </c>
      <c r="C33" s="6">
        <f>IF(C31&lt;0,B33+C31,B33)</f>
        <v>75.29411764705884</v>
      </c>
      <c r="D33" s="6">
        <f t="shared" ref="D33:AE33" si="17">C33+D31</f>
        <v>216.38749612049361</v>
      </c>
      <c r="E33" s="6">
        <f t="shared" si="17"/>
        <v>392.8324556062812</v>
      </c>
      <c r="F33" s="6">
        <f t="shared" si="17"/>
        <v>606.3307916012991</v>
      </c>
      <c r="G33" s="6">
        <f t="shared" si="17"/>
        <v>858.65341353463623</v>
      </c>
      <c r="H33" s="6">
        <f t="shared" si="17"/>
        <v>1151.6433335917695</v>
      </c>
      <c r="I33" s="6">
        <f t="shared" si="17"/>
        <v>1487.2187852401053</v>
      </c>
      <c r="J33" s="6">
        <f t="shared" si="17"/>
        <v>1867.3764770517735</v>
      </c>
      <c r="K33" s="6">
        <f t="shared" si="17"/>
        <v>2294.1949876597341</v>
      </c>
      <c r="L33" s="6">
        <f t="shared" si="17"/>
        <v>2769.8383079336927</v>
      </c>
      <c r="M33" s="6">
        <f t="shared" si="17"/>
        <v>3296.5595367234737</v>
      </c>
      <c r="N33" s="6">
        <f t="shared" si="17"/>
        <v>3876.704736789809</v>
      </c>
      <c r="O33" s="6">
        <f t="shared" si="17"/>
        <v>4512.7169578264693</v>
      </c>
      <c r="P33" s="6">
        <f t="shared" si="17"/>
        <v>5207.1404337737476</v>
      </c>
      <c r="Q33" s="6">
        <f t="shared" si="17"/>
        <v>5962.6249619320724</v>
      </c>
      <c r="R33" s="6">
        <f t="shared" si="17"/>
        <v>6757.3019274719773</v>
      </c>
      <c r="S33" s="6">
        <f t="shared" si="17"/>
        <v>7592.8374130534839</v>
      </c>
      <c r="T33" s="6">
        <f t="shared" si="17"/>
        <v>8470.9683270268597</v>
      </c>
      <c r="U33" s="6">
        <f t="shared" si="17"/>
        <v>9393.5054142546614</v>
      </c>
      <c r="V33" s="6">
        <f t="shared" si="17"/>
        <v>10362.336394924761</v>
      </c>
      <c r="W33" s="6">
        <f t="shared" si="17"/>
        <v>11379.429236795277</v>
      </c>
      <c r="X33" s="6">
        <f t="shared" si="17"/>
        <v>12446.835566543657</v>
      </c>
      <c r="Y33" s="6">
        <f t="shared" si="17"/>
        <v>13566.694226133273</v>
      </c>
      <c r="Z33" s="6">
        <f t="shared" si="17"/>
        <v>14741.234980362249</v>
      </c>
      <c r="AA33" s="6">
        <f t="shared" si="17"/>
        <v>15972.782382021351</v>
      </c>
      <c r="AB33" s="6">
        <f t="shared" si="17"/>
        <v>17263.759801360924</v>
      </c>
      <c r="AC33" s="6">
        <f t="shared" si="17"/>
        <v>18616.693626851742</v>
      </c>
      <c r="AD33" s="6">
        <f t="shared" si="17"/>
        <v>20034.217644521468</v>
      </c>
      <c r="AE33" s="6">
        <f t="shared" si="17"/>
        <v>21519.077603458092</v>
      </c>
    </row>
    <row r="34" spans="1:31" x14ac:dyDescent="0.25">
      <c r="B34" s="49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x14ac:dyDescent="0.25">
      <c r="A35" t="s">
        <v>81</v>
      </c>
      <c r="B35" s="45">
        <f>(B24+C14)/(B12*(1+$B$2))</f>
        <v>2.1572669754204155</v>
      </c>
      <c r="C35" s="45">
        <f t="shared" ref="C35:AE35" si="18">(C24+D14)/(C12*(1+$B$2))</f>
        <v>2.1564437222969826</v>
      </c>
      <c r="D35" s="45">
        <f t="shared" si="18"/>
        <v>2.152233356787796</v>
      </c>
      <c r="E35" s="45">
        <f t="shared" si="18"/>
        <v>2.1494355564874499</v>
      </c>
      <c r="F35" s="45">
        <f t="shared" si="18"/>
        <v>2.1480743609129789</v>
      </c>
      <c r="G35" s="45">
        <f t="shared" si="18"/>
        <v>2.1481748843720694</v>
      </c>
      <c r="H35" s="45">
        <f t="shared" si="18"/>
        <v>2.149763347603364</v>
      </c>
      <c r="I35" s="45">
        <f t="shared" si="18"/>
        <v>2.152867110487779</v>
      </c>
      <c r="J35" s="45">
        <f t="shared" si="18"/>
        <v>2.1575147058653075</v>
      </c>
      <c r="K35" s="45">
        <f t="shared" si="18"/>
        <v>2.1637358744928492</v>
      </c>
      <c r="L35" s="45">
        <f t="shared" si="18"/>
        <v>2.1715616011798371</v>
      </c>
      <c r="M35" s="45">
        <f t="shared" si="18"/>
        <v>2.1810241521395568</v>
      </c>
      <c r="N35" s="45">
        <f t="shared" si="18"/>
        <v>2.1921571135953624</v>
      </c>
      <c r="O35" s="45">
        <f t="shared" si="18"/>
        <v>2.2049954316822395</v>
      </c>
      <c r="P35" s="45">
        <f t="shared" si="18"/>
        <v>2.2195754536854739</v>
      </c>
      <c r="Q35" s="45">
        <f t="shared" si="18"/>
        <v>0.63262628401565602</v>
      </c>
      <c r="R35" s="45">
        <f t="shared" si="18"/>
        <v>0.65908678193604042</v>
      </c>
      <c r="S35" s="45">
        <f t="shared" si="18"/>
        <v>0.68635246297284758</v>
      </c>
      <c r="T35" s="45">
        <f t="shared" si="18"/>
        <v>0.71445007089855839</v>
      </c>
      <c r="U35" s="45">
        <f t="shared" si="18"/>
        <v>0.74340721484911565</v>
      </c>
      <c r="V35" s="45">
        <f t="shared" si="18"/>
        <v>0.77325239753957686</v>
      </c>
      <c r="W35" s="45">
        <f t="shared" si="18"/>
        <v>0.80401504439769789</v>
      </c>
      <c r="X35" s="45">
        <f t="shared" si="18"/>
        <v>0.83572553364531499</v>
      </c>
      <c r="Y35" s="45">
        <f t="shared" si="18"/>
        <v>0.86841522735839505</v>
      </c>
      <c r="Z35" s="45">
        <f t="shared" si="18"/>
        <v>0.90211650353760331</v>
      </c>
      <c r="AA35" s="45">
        <f t="shared" si="18"/>
        <v>0.93686278922228383</v>
      </c>
      <c r="AB35" s="45">
        <f t="shared" si="18"/>
        <v>0.97268859468182678</v>
      </c>
      <c r="AC35" s="45">
        <f t="shared" si="18"/>
        <v>1.0096295487194873</v>
      </c>
      <c r="AD35" s="45">
        <f t="shared" si="18"/>
        <v>1.0477224351248715</v>
      </c>
      <c r="AE35" s="45">
        <f t="shared" si="18"/>
        <v>1.0870052303124842</v>
      </c>
    </row>
    <row r="36" spans="1:31" x14ac:dyDescent="0.25">
      <c r="A36" t="s">
        <v>82</v>
      </c>
      <c r="B36" s="71">
        <f>B35+B13</f>
        <v>7.9598064934302561</v>
      </c>
      <c r="C36" s="71">
        <f t="shared" ref="C36:AE36" si="19">C35+C13</f>
        <v>10.116250215727238</v>
      </c>
      <c r="D36" s="71">
        <f t="shared" si="19"/>
        <v>12.268483572515034</v>
      </c>
      <c r="E36" s="71">
        <f t="shared" si="19"/>
        <v>14.417919129002485</v>
      </c>
      <c r="F36" s="71">
        <f t="shared" si="19"/>
        <v>16.565993489915463</v>
      </c>
      <c r="G36" s="71">
        <f t="shared" si="19"/>
        <v>18.714168374287532</v>
      </c>
      <c r="H36" s="71">
        <f t="shared" si="19"/>
        <v>20.863931721890896</v>
      </c>
      <c r="I36" s="71">
        <f t="shared" si="19"/>
        <v>23.016798832378676</v>
      </c>
      <c r="J36" s="71">
        <f t="shared" si="19"/>
        <v>25.174313538243982</v>
      </c>
      <c r="K36" s="71">
        <f t="shared" si="19"/>
        <v>27.338049412736833</v>
      </c>
      <c r="L36" s="71">
        <f t="shared" si="19"/>
        <v>29.509611013916668</v>
      </c>
      <c r="M36" s="71">
        <f t="shared" si="19"/>
        <v>31.690635166056225</v>
      </c>
      <c r="N36" s="71">
        <f t="shared" si="19"/>
        <v>33.882792279651589</v>
      </c>
      <c r="O36" s="71">
        <f t="shared" si="19"/>
        <v>36.087787711333831</v>
      </c>
      <c r="P36" s="71">
        <f t="shared" si="19"/>
        <v>38.307363165019304</v>
      </c>
      <c r="Q36" s="71">
        <f t="shared" si="19"/>
        <v>38.939989449034961</v>
      </c>
      <c r="R36" s="71">
        <f t="shared" si="19"/>
        <v>39.599076230971001</v>
      </c>
      <c r="S36" s="71">
        <f t="shared" si="19"/>
        <v>40.28542869394385</v>
      </c>
      <c r="T36" s="71">
        <f t="shared" si="19"/>
        <v>40.999878764842407</v>
      </c>
      <c r="U36" s="71">
        <f t="shared" si="19"/>
        <v>41.743285979691521</v>
      </c>
      <c r="V36" s="71">
        <f t="shared" si="19"/>
        <v>42.5165383772311</v>
      </c>
      <c r="W36" s="71">
        <f t="shared" si="19"/>
        <v>43.320553421628802</v>
      </c>
      <c r="X36" s="71">
        <f t="shared" si="19"/>
        <v>44.156278955274118</v>
      </c>
      <c r="Y36" s="71">
        <f t="shared" si="19"/>
        <v>45.024694182632516</v>
      </c>
      <c r="Z36" s="71">
        <f t="shared" si="19"/>
        <v>45.926810686170121</v>
      </c>
      <c r="AA36" s="71">
        <f t="shared" si="19"/>
        <v>46.863673475392403</v>
      </c>
      <c r="AB36" s="71">
        <f t="shared" si="19"/>
        <v>47.83636207007423</v>
      </c>
      <c r="AC36" s="71">
        <f t="shared" si="19"/>
        <v>48.845991618793718</v>
      </c>
      <c r="AD36" s="71">
        <f t="shared" si="19"/>
        <v>49.893714053918586</v>
      </c>
      <c r="AE36" s="71">
        <f t="shared" si="19"/>
        <v>50.980719284231071</v>
      </c>
    </row>
    <row r="37" spans="1:31" x14ac:dyDescent="0.25">
      <c r="B37" s="49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x14ac:dyDescent="0.25">
      <c r="B38"/>
      <c r="R38" s="6"/>
      <c r="S38" s="6"/>
      <c r="T38" s="6"/>
      <c r="U38" s="6"/>
    </row>
    <row r="39" spans="1:31" x14ac:dyDescent="0.25">
      <c r="A39" t="s">
        <v>55</v>
      </c>
      <c r="B39" s="1">
        <f>Investissement!Apport-Crédit!B27</f>
        <v>8155.3846760687484</v>
      </c>
      <c r="C39" s="1">
        <f>Investissement!Apport-Crédit!C27</f>
        <v>10299.34663008618</v>
      </c>
      <c r="D39" s="1">
        <f>Investissement!Apport-Crédit!D27</f>
        <v>12426.873800359044</v>
      </c>
      <c r="E39" s="1">
        <f>Investissement!Apport-Crédit!E27</f>
        <v>14537.95786020776</v>
      </c>
      <c r="F39" s="1">
        <f>Investissement!Apport-Crédit!F27</f>
        <v>16632.594355336863</v>
      </c>
      <c r="G39" s="1">
        <f>Investissement!Apport-Crédit!G27</f>
        <v>18710.782845197122</v>
      </c>
      <c r="H39" s="1">
        <f>Investissement!Apport-Crédit!H27</f>
        <v>20772.527048447966</v>
      </c>
      <c r="I39" s="1">
        <f>Investissement!Apport-Crédit!I27</f>
        <v>22817.834992631811</v>
      </c>
      <c r="J39" s="1">
        <f>Investissement!Apport-Crédit!J27</f>
        <v>24846.719168174808</v>
      </c>
      <c r="K39" s="1">
        <f>Investissement!Apport-Crédit!K27</f>
        <v>26859.196686831572</v>
      </c>
      <c r="L39" s="1">
        <f>Investissement!Apport-Crédit!L27</f>
        <v>28855.289444694645</v>
      </c>
      <c r="M39" s="1">
        <f>Investissement!Apport-Crédit!M27</f>
        <v>30835.024289892601</v>
      </c>
      <c r="N39" s="1">
        <f>Investissement!Apport-Crédit!N27</f>
        <v>32798.433195103986</v>
      </c>
      <c r="O39" s="1">
        <f>Investissement!Apport-Crédit!O27</f>
        <v>34745.553435017748</v>
      </c>
      <c r="P39" s="1">
        <f>Investissement!Apport-Crédit!P27</f>
        <v>36676.427768874186</v>
      </c>
      <c r="Q39" s="1">
        <f>Investissement!Apport-Crédit!Q27</f>
        <v>36676.427768874186</v>
      </c>
      <c r="R39" s="1">
        <f>Investissement!Apport-Crédit!R27</f>
        <v>36676.427768874186</v>
      </c>
      <c r="S39" s="1">
        <f>Investissement!Apport-Crédit!S27</f>
        <v>36676.427768874186</v>
      </c>
      <c r="T39" s="1">
        <f>Investissement!Apport-Crédit!T27</f>
        <v>36676.427768874186</v>
      </c>
      <c r="U39" s="1">
        <f>Investissement!Apport-Crédit!U27</f>
        <v>36676.427768874186</v>
      </c>
      <c r="V39" s="1">
        <f>Investissement!Apport-Crédit!V27</f>
        <v>36676.427768874186</v>
      </c>
      <c r="W39" s="1">
        <f>Investissement!Apport-Crédit!W27</f>
        <v>36676.427768874186</v>
      </c>
      <c r="X39" s="1">
        <f>Investissement!Apport-Crédit!X27</f>
        <v>36676.427768874186</v>
      </c>
      <c r="Y39" s="1">
        <f>Investissement!Apport-Crédit!Y27</f>
        <v>36676.427768874186</v>
      </c>
      <c r="Z39" s="1">
        <f>Investissement!Apport-Crédit!Z27</f>
        <v>36676.427768874186</v>
      </c>
      <c r="AA39" s="1">
        <f>Investissement!Apport-Crédit!AA27</f>
        <v>36676.427768874186</v>
      </c>
      <c r="AB39" s="1">
        <f>Investissement!Apport-Crédit!AB27</f>
        <v>36676.427768874186</v>
      </c>
      <c r="AC39" s="1">
        <f>Investissement!Apport-Crédit!AC27</f>
        <v>36676.427768874186</v>
      </c>
      <c r="AD39" s="1">
        <f>Investissement!Apport-Crédit!AD27</f>
        <v>36676.427768874186</v>
      </c>
      <c r="AE39" s="1">
        <f>Investissement!Apport-Crédit!AE27</f>
        <v>36676.427768874186</v>
      </c>
    </row>
    <row r="40" spans="1:31" x14ac:dyDescent="0.25">
      <c r="Q40" s="6"/>
      <c r="R40" s="6"/>
      <c r="S40" s="6"/>
      <c r="T40" s="6"/>
      <c r="U40" s="6"/>
      <c r="V40" s="6"/>
      <c r="W40" s="6"/>
    </row>
    <row r="41" spans="1:31" x14ac:dyDescent="0.25">
      <c r="A41" t="s">
        <v>52</v>
      </c>
      <c r="B41" s="1">
        <f>B12*B36</f>
        <v>8069.2929350154973</v>
      </c>
      <c r="C41" s="1">
        <f t="shared" ref="C41:AE41" si="20">C12*C36</f>
        <v>10354.335059480989</v>
      </c>
      <c r="D41" s="1">
        <f t="shared" si="20"/>
        <v>12678.364030092094</v>
      </c>
      <c r="E41" s="1">
        <f t="shared" si="20"/>
        <v>15043.351277011971</v>
      </c>
      <c r="F41" s="1">
        <f t="shared" si="20"/>
        <v>17451.355996234273</v>
      </c>
      <c r="G41" s="1">
        <f t="shared" si="20"/>
        <v>19904.528943197001</v>
      </c>
      <c r="H41" s="1">
        <f t="shared" si="20"/>
        <v>22405.116388912182</v>
      </c>
      <c r="I41" s="1">
        <f t="shared" si="20"/>
        <v>24955.464245548941</v>
      </c>
      <c r="J41" s="1">
        <f t="shared" si="20"/>
        <v>27558.022368703205</v>
      </c>
      <c r="K41" s="1">
        <f t="shared" si="20"/>
        <v>30215.349043895429</v>
      </c>
      <c r="L41" s="1">
        <f t="shared" si="20"/>
        <v>32930.115665159217</v>
      </c>
      <c r="M41" s="1">
        <f t="shared" si="20"/>
        <v>35705.11161391862</v>
      </c>
      <c r="N41" s="1">
        <f t="shared" si="20"/>
        <v>38543.249346701254</v>
      </c>
      <c r="O41" s="1">
        <f t="shared" si="20"/>
        <v>41447.569700598513</v>
      </c>
      <c r="P41" s="1">
        <f t="shared" si="20"/>
        <v>44421.247425763904</v>
      </c>
      <c r="Q41" s="1">
        <f t="shared" si="20"/>
        <v>45590.462778802874</v>
      </c>
      <c r="R41" s="1">
        <f t="shared" si="20"/>
        <v>46809.381838874964</v>
      </c>
      <c r="S41" s="1">
        <f t="shared" si="20"/>
        <v>48080.117525970833</v>
      </c>
      <c r="T41" s="1">
        <f t="shared" si="20"/>
        <v>49404.872580964809</v>
      </c>
      <c r="U41" s="1">
        <f t="shared" si="20"/>
        <v>50785.943383928497</v>
      </c>
      <c r="V41" s="1">
        <f t="shared" si="20"/>
        <v>52225.723934762063</v>
      </c>
      <c r="W41" s="1">
        <f t="shared" si="20"/>
        <v>53726.710003043379</v>
      </c>
      <c r="X41" s="1">
        <f t="shared" si="20"/>
        <v>55291.503454288599</v>
      </c>
      <c r="Y41" s="1">
        <f t="shared" si="20"/>
        <v>56922.81676012338</v>
      </c>
      <c r="Z41" s="1">
        <f t="shared" si="20"/>
        <v>58623.477700182841</v>
      </c>
      <c r="AA41" s="1">
        <f t="shared" si="20"/>
        <v>60396.434263890813</v>
      </c>
      <c r="AB41" s="1">
        <f t="shared" si="20"/>
        <v>62244.759760615227</v>
      </c>
      <c r="AC41" s="1">
        <f t="shared" si="20"/>
        <v>64171.658147057722</v>
      </c>
      <c r="AD41" s="1">
        <f t="shared" si="20"/>
        <v>66180.469581112338</v>
      </c>
      <c r="AE41" s="1">
        <f t="shared" si="20"/>
        <v>68274.676211820435</v>
      </c>
    </row>
    <row r="42" spans="1:31" x14ac:dyDescent="0.25">
      <c r="A42" t="s">
        <v>62</v>
      </c>
      <c r="B42" s="1">
        <f>IF(B41-B15&lt;0,0,B41-B15)</f>
        <v>2069.2929350154973</v>
      </c>
      <c r="C42" s="1">
        <f t="shared" ref="C42:AE42" si="21">IF(C41-C15&lt;0,0,C41-C15)</f>
        <v>2198.9503834122406</v>
      </c>
      <c r="D42" s="1">
        <f t="shared" si="21"/>
        <v>2379.0174000059142</v>
      </c>
      <c r="E42" s="1">
        <f t="shared" si="21"/>
        <v>2616.4774766529263</v>
      </c>
      <c r="F42" s="1">
        <f t="shared" si="21"/>
        <v>2913.3981360265134</v>
      </c>
      <c r="G42" s="1">
        <f t="shared" si="21"/>
        <v>3271.934587860138</v>
      </c>
      <c r="H42" s="1">
        <f t="shared" si="21"/>
        <v>3694.3335437150599</v>
      </c>
      <c r="I42" s="1">
        <f t="shared" si="21"/>
        <v>4182.937197100975</v>
      </c>
      <c r="J42" s="1">
        <f t="shared" si="21"/>
        <v>4740.1873760713934</v>
      </c>
      <c r="K42" s="1">
        <f t="shared" si="21"/>
        <v>5368.6298757206205</v>
      </c>
      <c r="L42" s="1">
        <f t="shared" si="21"/>
        <v>6070.9189783276452</v>
      </c>
      <c r="M42" s="1">
        <f t="shared" si="21"/>
        <v>6849.8221692239749</v>
      </c>
      <c r="N42" s="1">
        <f t="shared" si="21"/>
        <v>7708.2250568086529</v>
      </c>
      <c r="O42" s="1">
        <f t="shared" si="21"/>
        <v>8649.1365054945272</v>
      </c>
      <c r="P42" s="1">
        <f t="shared" si="21"/>
        <v>9675.6939907461638</v>
      </c>
      <c r="Q42" s="1">
        <f t="shared" si="21"/>
        <v>8914.0350099286879</v>
      </c>
      <c r="R42" s="1">
        <f t="shared" si="21"/>
        <v>10132.954070000778</v>
      </c>
      <c r="S42" s="1">
        <f t="shared" si="21"/>
        <v>11403.689757096647</v>
      </c>
      <c r="T42" s="1">
        <f t="shared" si="21"/>
        <v>12728.444812090624</v>
      </c>
      <c r="U42" s="1">
        <f t="shared" si="21"/>
        <v>14109.515615054312</v>
      </c>
      <c r="V42" s="1">
        <f t="shared" si="21"/>
        <v>15549.296165887878</v>
      </c>
      <c r="W42" s="1">
        <f t="shared" si="21"/>
        <v>17050.282234169194</v>
      </c>
      <c r="X42" s="1">
        <f t="shared" si="21"/>
        <v>18615.075685414413</v>
      </c>
      <c r="Y42" s="1">
        <f t="shared" si="21"/>
        <v>20246.388991249194</v>
      </c>
      <c r="Z42" s="1">
        <f t="shared" si="21"/>
        <v>21947.049931308655</v>
      </c>
      <c r="AA42" s="1">
        <f t="shared" si="21"/>
        <v>23720.006495016627</v>
      </c>
      <c r="AB42" s="1">
        <f t="shared" si="21"/>
        <v>25568.331991741041</v>
      </c>
      <c r="AC42" s="1">
        <f t="shared" si="21"/>
        <v>27495.230378183536</v>
      </c>
      <c r="AD42" s="1">
        <f t="shared" si="21"/>
        <v>29504.041812238152</v>
      </c>
      <c r="AE42" s="1">
        <f t="shared" si="21"/>
        <v>31598.248442946249</v>
      </c>
    </row>
    <row r="43" spans="1:31" x14ac:dyDescent="0.25">
      <c r="A43" t="s">
        <v>63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f>-6%*Valeur_initiale</f>
        <v>-360</v>
      </c>
      <c r="H43" s="1">
        <f t="shared" ref="H43:V43" si="22">-6%*Valeur_initiale+G43</f>
        <v>-720</v>
      </c>
      <c r="I43" s="1">
        <f t="shared" si="22"/>
        <v>-1080</v>
      </c>
      <c r="J43" s="1">
        <f t="shared" si="22"/>
        <v>-1440</v>
      </c>
      <c r="K43" s="1">
        <f t="shared" si="22"/>
        <v>-1800</v>
      </c>
      <c r="L43" s="1">
        <f t="shared" si="22"/>
        <v>-2160</v>
      </c>
      <c r="M43" s="1">
        <f t="shared" si="22"/>
        <v>-2520</v>
      </c>
      <c r="N43" s="1">
        <f t="shared" si="22"/>
        <v>-2880</v>
      </c>
      <c r="O43" s="1">
        <f t="shared" si="22"/>
        <v>-3240</v>
      </c>
      <c r="P43" s="1">
        <f t="shared" si="22"/>
        <v>-3600</v>
      </c>
      <c r="Q43" s="1">
        <f t="shared" si="22"/>
        <v>-3960</v>
      </c>
      <c r="R43" s="1">
        <f t="shared" si="22"/>
        <v>-4320</v>
      </c>
      <c r="S43" s="1">
        <f t="shared" si="22"/>
        <v>-4680</v>
      </c>
      <c r="T43" s="1">
        <f t="shared" si="22"/>
        <v>-5040</v>
      </c>
      <c r="U43" s="1">
        <f t="shared" si="22"/>
        <v>-5400</v>
      </c>
      <c r="V43" s="1">
        <f t="shared" si="22"/>
        <v>-5760</v>
      </c>
      <c r="W43" s="1">
        <f>-4%*Valeur_initiale+V43</f>
        <v>-6000</v>
      </c>
      <c r="X43" s="1">
        <f>W43</f>
        <v>-6000</v>
      </c>
      <c r="Y43" s="1">
        <f t="shared" ref="Y43:AE43" si="23">X43</f>
        <v>-6000</v>
      </c>
      <c r="Z43" s="1">
        <f t="shared" si="23"/>
        <v>-6000</v>
      </c>
      <c r="AA43" s="1">
        <f t="shared" si="23"/>
        <v>-6000</v>
      </c>
      <c r="AB43" s="1">
        <f t="shared" si="23"/>
        <v>-6000</v>
      </c>
      <c r="AC43" s="1">
        <f t="shared" si="23"/>
        <v>-6000</v>
      </c>
      <c r="AD43" s="1">
        <f t="shared" si="23"/>
        <v>-6000</v>
      </c>
      <c r="AE43" s="1">
        <f t="shared" si="23"/>
        <v>-6000</v>
      </c>
    </row>
    <row r="44" spans="1:31" x14ac:dyDescent="0.25">
      <c r="A44" t="s">
        <v>64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f>-1.6%*Valeur_initiale</f>
        <v>-96</v>
      </c>
      <c r="H44" s="1">
        <f t="shared" ref="H44:V44" si="24">-1.6%*Valeur_initiale+G44</f>
        <v>-192</v>
      </c>
      <c r="I44" s="1">
        <f t="shared" si="24"/>
        <v>-288</v>
      </c>
      <c r="J44" s="1">
        <f t="shared" si="24"/>
        <v>-384</v>
      </c>
      <c r="K44" s="1">
        <f t="shared" si="24"/>
        <v>-480</v>
      </c>
      <c r="L44" s="1">
        <f t="shared" si="24"/>
        <v>-576</v>
      </c>
      <c r="M44" s="1">
        <f t="shared" si="24"/>
        <v>-672</v>
      </c>
      <c r="N44" s="1">
        <f t="shared" si="24"/>
        <v>-768</v>
      </c>
      <c r="O44" s="1">
        <f t="shared" si="24"/>
        <v>-864</v>
      </c>
      <c r="P44" s="1">
        <f t="shared" si="24"/>
        <v>-960</v>
      </c>
      <c r="Q44" s="1">
        <f t="shared" si="24"/>
        <v>-1056</v>
      </c>
      <c r="R44" s="1">
        <f t="shared" si="24"/>
        <v>-1152</v>
      </c>
      <c r="S44" s="1">
        <f t="shared" si="24"/>
        <v>-1248</v>
      </c>
      <c r="T44" s="1">
        <f t="shared" si="24"/>
        <v>-1344</v>
      </c>
      <c r="U44" s="1">
        <f t="shared" si="24"/>
        <v>-1440</v>
      </c>
      <c r="V44" s="1">
        <f t="shared" si="24"/>
        <v>-1536</v>
      </c>
      <c r="W44" s="1">
        <f t="shared" ref="W44:AE44" si="25">-9%*Valeur_initiale+V44</f>
        <v>-2076</v>
      </c>
      <c r="X44" s="1">
        <f t="shared" si="25"/>
        <v>-2616</v>
      </c>
      <c r="Y44" s="1">
        <f t="shared" si="25"/>
        <v>-3156</v>
      </c>
      <c r="Z44" s="1">
        <f t="shared" si="25"/>
        <v>-3696</v>
      </c>
      <c r="AA44" s="1">
        <f t="shared" si="25"/>
        <v>-4236</v>
      </c>
      <c r="AB44" s="1">
        <f t="shared" si="25"/>
        <v>-4776</v>
      </c>
      <c r="AC44" s="1">
        <f t="shared" si="25"/>
        <v>-5316</v>
      </c>
      <c r="AD44" s="1">
        <f t="shared" si="25"/>
        <v>-5856</v>
      </c>
      <c r="AE44" s="1">
        <f t="shared" si="25"/>
        <v>-6396</v>
      </c>
    </row>
    <row r="45" spans="1:31" x14ac:dyDescent="0.25">
      <c r="A45" t="s">
        <v>65</v>
      </c>
      <c r="B45" s="1">
        <f>IF(B42+B43&lt;0,0,(B42+B43)*19%)</f>
        <v>393.1656576529445</v>
      </c>
      <c r="C45" s="1">
        <f t="shared" ref="C45:AE45" si="26">IF(C42+C43&lt;0,0,(C42+C43)*19%)</f>
        <v>417.80057284832571</v>
      </c>
      <c r="D45" s="1">
        <f t="shared" si="26"/>
        <v>452.01330600112368</v>
      </c>
      <c r="E45" s="1">
        <f t="shared" si="26"/>
        <v>497.13072056405599</v>
      </c>
      <c r="F45" s="1">
        <f t="shared" si="26"/>
        <v>553.5456458450376</v>
      </c>
      <c r="G45" s="1">
        <f t="shared" si="26"/>
        <v>553.26757169342625</v>
      </c>
      <c r="H45" s="1">
        <f t="shared" si="26"/>
        <v>565.12337330586138</v>
      </c>
      <c r="I45" s="1">
        <f t="shared" si="26"/>
        <v>589.55806744918527</v>
      </c>
      <c r="J45" s="1">
        <f t="shared" si="26"/>
        <v>627.03560145356471</v>
      </c>
      <c r="K45" s="1">
        <f t="shared" si="26"/>
        <v>678.0396763869179</v>
      </c>
      <c r="L45" s="1">
        <f t="shared" si="26"/>
        <v>743.07460588225263</v>
      </c>
      <c r="M45" s="1">
        <f t="shared" si="26"/>
        <v>822.6662121525552</v>
      </c>
      <c r="N45" s="1">
        <f t="shared" si="26"/>
        <v>917.36276079364404</v>
      </c>
      <c r="O45" s="1">
        <f t="shared" si="26"/>
        <v>1027.7359360439602</v>
      </c>
      <c r="P45" s="1">
        <f t="shared" si="26"/>
        <v>1154.3818582417712</v>
      </c>
      <c r="Q45" s="1">
        <f t="shared" si="26"/>
        <v>941.26665188645075</v>
      </c>
      <c r="R45" s="1">
        <f t="shared" si="26"/>
        <v>1104.4612733001479</v>
      </c>
      <c r="S45" s="1">
        <f t="shared" si="26"/>
        <v>1277.501053848363</v>
      </c>
      <c r="T45" s="1">
        <f t="shared" si="26"/>
        <v>1460.8045142972185</v>
      </c>
      <c r="U45" s="1">
        <f t="shared" si="26"/>
        <v>1654.8079668603193</v>
      </c>
      <c r="V45" s="1">
        <f t="shared" si="26"/>
        <v>1859.9662715186967</v>
      </c>
      <c r="W45" s="1">
        <f t="shared" si="26"/>
        <v>2099.5536244921468</v>
      </c>
      <c r="X45" s="1">
        <f t="shared" si="26"/>
        <v>2396.8643802287384</v>
      </c>
      <c r="Y45" s="1">
        <f t="shared" si="26"/>
        <v>2706.8139083373471</v>
      </c>
      <c r="Z45" s="1">
        <f t="shared" si="26"/>
        <v>3029.9394869486446</v>
      </c>
      <c r="AA45" s="1">
        <f t="shared" si="26"/>
        <v>3366.8012340531591</v>
      </c>
      <c r="AB45" s="1">
        <f t="shared" si="26"/>
        <v>3717.9830784307978</v>
      </c>
      <c r="AC45" s="1">
        <f t="shared" si="26"/>
        <v>4084.0937718548721</v>
      </c>
      <c r="AD45" s="1">
        <f t="shared" si="26"/>
        <v>4465.7679443252491</v>
      </c>
      <c r="AE45" s="1">
        <f t="shared" si="26"/>
        <v>4863.6672041597876</v>
      </c>
    </row>
    <row r="46" spans="1:31" x14ac:dyDescent="0.25">
      <c r="A46" t="s">
        <v>66</v>
      </c>
      <c r="B46" s="1">
        <f>IF(B42-B44&lt;0,0,(B42-B44)*17.2%)</f>
        <v>355.91838482266553</v>
      </c>
      <c r="C46" s="1">
        <f t="shared" ref="C46:AE46" si="27">IF(C42-C44&lt;0,0,(C42-C44)*17.2%)</f>
        <v>378.21946594690536</v>
      </c>
      <c r="D46" s="1">
        <f t="shared" si="27"/>
        <v>409.19099280101722</v>
      </c>
      <c r="E46" s="1">
        <f t="shared" si="27"/>
        <v>450.03412598430327</v>
      </c>
      <c r="F46" s="1">
        <f t="shared" si="27"/>
        <v>501.10447939656024</v>
      </c>
      <c r="G46" s="1">
        <f t="shared" si="27"/>
        <v>579.28474911194371</v>
      </c>
      <c r="H46" s="1">
        <f t="shared" si="27"/>
        <v>668.44936951899024</v>
      </c>
      <c r="I46" s="1">
        <f t="shared" si="27"/>
        <v>769.00119790136762</v>
      </c>
      <c r="J46" s="1">
        <f t="shared" si="27"/>
        <v>881.3602286842796</v>
      </c>
      <c r="K46" s="1">
        <f t="shared" si="27"/>
        <v>1005.9643386239467</v>
      </c>
      <c r="L46" s="1">
        <f t="shared" si="27"/>
        <v>1143.2700642723548</v>
      </c>
      <c r="M46" s="1">
        <f t="shared" si="27"/>
        <v>1293.7534131065236</v>
      </c>
      <c r="N46" s="1">
        <f t="shared" si="27"/>
        <v>1457.9107097710882</v>
      </c>
      <c r="O46" s="1">
        <f t="shared" si="27"/>
        <v>1636.2594789450586</v>
      </c>
      <c r="P46" s="1">
        <f t="shared" si="27"/>
        <v>1829.3393664083401</v>
      </c>
      <c r="Q46" s="1">
        <f t="shared" si="27"/>
        <v>1714.8460217077343</v>
      </c>
      <c r="R46" s="1">
        <f t="shared" si="27"/>
        <v>1941.0121000401336</v>
      </c>
      <c r="S46" s="1">
        <f t="shared" si="27"/>
        <v>2176.0906382206231</v>
      </c>
      <c r="T46" s="1">
        <f t="shared" si="27"/>
        <v>2420.460507679587</v>
      </c>
      <c r="U46" s="1">
        <f t="shared" si="27"/>
        <v>2674.5166857893414</v>
      </c>
      <c r="V46" s="1">
        <f t="shared" si="27"/>
        <v>2938.6709405327147</v>
      </c>
      <c r="W46" s="1">
        <f t="shared" si="27"/>
        <v>3289.720544277101</v>
      </c>
      <c r="X46" s="1">
        <f t="shared" si="27"/>
        <v>3651.7450178912786</v>
      </c>
      <c r="Y46" s="1">
        <f t="shared" si="27"/>
        <v>4025.2109064948609</v>
      </c>
      <c r="Z46" s="1">
        <f t="shared" si="27"/>
        <v>4410.6045881850887</v>
      </c>
      <c r="AA46" s="1">
        <f t="shared" si="27"/>
        <v>4808.4331171428594</v>
      </c>
      <c r="AB46" s="1">
        <f t="shared" si="27"/>
        <v>5219.2251025794585</v>
      </c>
      <c r="AC46" s="1">
        <f t="shared" si="27"/>
        <v>5643.531625047568</v>
      </c>
      <c r="AD46" s="1">
        <f t="shared" si="27"/>
        <v>6081.9271917049618</v>
      </c>
      <c r="AE46" s="1">
        <f t="shared" si="27"/>
        <v>6535.0107321867545</v>
      </c>
    </row>
    <row r="47" spans="1:31" x14ac:dyDescent="0.25">
      <c r="A47" t="s">
        <v>67</v>
      </c>
      <c r="B47" s="1">
        <f>B45+B46</f>
        <v>749.08404247560998</v>
      </c>
      <c r="C47" s="1">
        <f t="shared" ref="C47:AE47" si="28">C45+C46</f>
        <v>796.02003879523113</v>
      </c>
      <c r="D47" s="1">
        <f t="shared" si="28"/>
        <v>861.2042988021409</v>
      </c>
      <c r="E47" s="1">
        <f t="shared" si="28"/>
        <v>947.16484654835926</v>
      </c>
      <c r="F47" s="1">
        <f t="shared" si="28"/>
        <v>1054.6501252415978</v>
      </c>
      <c r="G47" s="1">
        <f t="shared" si="28"/>
        <v>1132.5523208053701</v>
      </c>
      <c r="H47" s="1">
        <f t="shared" si="28"/>
        <v>1233.5727428248515</v>
      </c>
      <c r="I47" s="1">
        <f t="shared" si="28"/>
        <v>1358.5592653505528</v>
      </c>
      <c r="J47" s="1">
        <f t="shared" si="28"/>
        <v>1508.3958301378443</v>
      </c>
      <c r="K47" s="1">
        <f t="shared" si="28"/>
        <v>1684.0040150108646</v>
      </c>
      <c r="L47" s="1">
        <f t="shared" si="28"/>
        <v>1886.3446701546075</v>
      </c>
      <c r="M47" s="1">
        <f t="shared" si="28"/>
        <v>2116.4196252590787</v>
      </c>
      <c r="N47" s="1">
        <f t="shared" si="28"/>
        <v>2375.2734705647322</v>
      </c>
      <c r="O47" s="1">
        <f t="shared" si="28"/>
        <v>2663.9954149890191</v>
      </c>
      <c r="P47" s="1">
        <f t="shared" si="28"/>
        <v>2983.7212246501113</v>
      </c>
      <c r="Q47" s="1">
        <f t="shared" si="28"/>
        <v>2656.1126735941853</v>
      </c>
      <c r="R47" s="1">
        <f t="shared" si="28"/>
        <v>3045.4733733402818</v>
      </c>
      <c r="S47" s="1">
        <f t="shared" si="28"/>
        <v>3453.591692068986</v>
      </c>
      <c r="T47" s="1">
        <f t="shared" si="28"/>
        <v>3881.2650219768057</v>
      </c>
      <c r="U47" s="1">
        <f t="shared" si="28"/>
        <v>4329.3246526496605</v>
      </c>
      <c r="V47" s="1">
        <f t="shared" si="28"/>
        <v>4798.6372120514116</v>
      </c>
      <c r="W47" s="1">
        <f t="shared" si="28"/>
        <v>5389.2741687692478</v>
      </c>
      <c r="X47" s="1">
        <f t="shared" si="28"/>
        <v>6048.6093981200174</v>
      </c>
      <c r="Y47" s="1">
        <f t="shared" si="28"/>
        <v>6732.024814832208</v>
      </c>
      <c r="Z47" s="1">
        <f t="shared" si="28"/>
        <v>7440.5440751337337</v>
      </c>
      <c r="AA47" s="1">
        <f t="shared" si="28"/>
        <v>8175.2343511960189</v>
      </c>
      <c r="AB47" s="1">
        <f t="shared" si="28"/>
        <v>8937.2081810102572</v>
      </c>
      <c r="AC47" s="1">
        <f t="shared" si="28"/>
        <v>9727.6253969024401</v>
      </c>
      <c r="AD47" s="1">
        <f t="shared" si="28"/>
        <v>10547.695136030212</v>
      </c>
      <c r="AE47" s="1">
        <f t="shared" si="28"/>
        <v>11398.677936346543</v>
      </c>
    </row>
    <row r="48" spans="1:31" x14ac:dyDescent="0.25">
      <c r="A48" t="s">
        <v>54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</row>
    <row r="49" spans="1:31" x14ac:dyDescent="0.25">
      <c r="A49" t="s">
        <v>56</v>
      </c>
      <c r="B49" s="1">
        <f>B41-B47</f>
        <v>7320.2088925398875</v>
      </c>
      <c r="C49" s="1">
        <f t="shared" ref="C49:AE49" si="29">C41-C47</f>
        <v>9558.3150206857572</v>
      </c>
      <c r="D49" s="1">
        <f t="shared" si="29"/>
        <v>11817.159731289954</v>
      </c>
      <c r="E49" s="1">
        <f t="shared" si="29"/>
        <v>14096.186430463611</v>
      </c>
      <c r="F49" s="1">
        <f t="shared" si="29"/>
        <v>16396.705870992675</v>
      </c>
      <c r="G49" s="1">
        <f t="shared" si="29"/>
        <v>18771.97662239163</v>
      </c>
      <c r="H49" s="1">
        <f t="shared" si="29"/>
        <v>21171.543646087332</v>
      </c>
      <c r="I49" s="1">
        <f t="shared" si="29"/>
        <v>23596.904980198389</v>
      </c>
      <c r="J49" s="1">
        <f t="shared" si="29"/>
        <v>26049.626538565361</v>
      </c>
      <c r="K49" s="1">
        <f t="shared" si="29"/>
        <v>28531.345028884563</v>
      </c>
      <c r="L49" s="1">
        <f t="shared" si="29"/>
        <v>31043.770995004608</v>
      </c>
      <c r="M49" s="1">
        <f t="shared" si="29"/>
        <v>33588.691988659542</v>
      </c>
      <c r="N49" s="1">
        <f t="shared" si="29"/>
        <v>36167.975876136523</v>
      </c>
      <c r="O49" s="1">
        <f t="shared" si="29"/>
        <v>38783.574285609495</v>
      </c>
      <c r="P49" s="1">
        <f t="shared" si="29"/>
        <v>41437.526201113797</v>
      </c>
      <c r="Q49" s="1">
        <f t="shared" si="29"/>
        <v>42934.350105208687</v>
      </c>
      <c r="R49" s="1">
        <f t="shared" si="29"/>
        <v>43763.908465534681</v>
      </c>
      <c r="S49" s="1">
        <f t="shared" si="29"/>
        <v>44626.525833901847</v>
      </c>
      <c r="T49" s="1">
        <f t="shared" si="29"/>
        <v>45523.607558988006</v>
      </c>
      <c r="U49" s="1">
        <f t="shared" si="29"/>
        <v>46456.618731278839</v>
      </c>
      <c r="V49" s="1">
        <f t="shared" si="29"/>
        <v>47427.08672271065</v>
      </c>
      <c r="W49" s="1">
        <f t="shared" si="29"/>
        <v>48337.435834274133</v>
      </c>
      <c r="X49" s="1">
        <f t="shared" si="29"/>
        <v>49242.894056168581</v>
      </c>
      <c r="Y49" s="1">
        <f t="shared" si="29"/>
        <v>50190.791945291174</v>
      </c>
      <c r="Z49" s="1">
        <f t="shared" si="29"/>
        <v>51182.933625049103</v>
      </c>
      <c r="AA49" s="1">
        <f t="shared" si="29"/>
        <v>52221.199912694792</v>
      </c>
      <c r="AB49" s="1">
        <f t="shared" si="29"/>
        <v>53307.551579604973</v>
      </c>
      <c r="AC49" s="1">
        <f t="shared" si="29"/>
        <v>54444.032750155282</v>
      </c>
      <c r="AD49" s="1">
        <f t="shared" si="29"/>
        <v>55632.774445082126</v>
      </c>
      <c r="AE49" s="1">
        <f t="shared" si="29"/>
        <v>56875.998275473888</v>
      </c>
    </row>
    <row r="50" spans="1:31" x14ac:dyDescent="0.25">
      <c r="A50" t="s">
        <v>57</v>
      </c>
      <c r="B50" s="1">
        <f>B49-B39</f>
        <v>-835.17578352886085</v>
      </c>
      <c r="C50" s="1">
        <f t="shared" ref="C50:AE50" si="30">C49-C39</f>
        <v>-741.03160940042289</v>
      </c>
      <c r="D50" s="1">
        <f t="shared" si="30"/>
        <v>-609.71406906909033</v>
      </c>
      <c r="E50" s="1">
        <f t="shared" si="30"/>
        <v>-441.77142974414892</v>
      </c>
      <c r="F50" s="1">
        <f t="shared" si="30"/>
        <v>-235.88848434418833</v>
      </c>
      <c r="G50" s="1">
        <f t="shared" si="30"/>
        <v>61.193777194508584</v>
      </c>
      <c r="H50" s="1">
        <f t="shared" si="30"/>
        <v>399.0165976393655</v>
      </c>
      <c r="I50" s="1">
        <f t="shared" si="30"/>
        <v>779.06998756657777</v>
      </c>
      <c r="J50" s="1">
        <f t="shared" si="30"/>
        <v>1202.9073703905524</v>
      </c>
      <c r="K50" s="1">
        <f t="shared" si="30"/>
        <v>1672.1483420529912</v>
      </c>
      <c r="L50" s="1">
        <f t="shared" si="30"/>
        <v>2188.4815503099635</v>
      </c>
      <c r="M50" s="1">
        <f t="shared" si="30"/>
        <v>2753.6676987669416</v>
      </c>
      <c r="N50" s="1">
        <f t="shared" si="30"/>
        <v>3369.5426810325371</v>
      </c>
      <c r="O50" s="1">
        <f t="shared" si="30"/>
        <v>4038.0208505917471</v>
      </c>
      <c r="P50" s="1">
        <f t="shared" si="30"/>
        <v>4761.0984322396107</v>
      </c>
      <c r="Q50" s="1">
        <f t="shared" si="30"/>
        <v>6257.9223363345009</v>
      </c>
      <c r="R50" s="1">
        <f t="shared" si="30"/>
        <v>7087.4806966604956</v>
      </c>
      <c r="S50" s="1">
        <f t="shared" si="30"/>
        <v>7950.0980650276615</v>
      </c>
      <c r="T50" s="1">
        <f t="shared" si="30"/>
        <v>8847.1797901138198</v>
      </c>
      <c r="U50" s="1">
        <f t="shared" si="30"/>
        <v>9780.190962404653</v>
      </c>
      <c r="V50" s="1">
        <f t="shared" si="30"/>
        <v>10750.658953836464</v>
      </c>
      <c r="W50" s="1">
        <f t="shared" si="30"/>
        <v>11661.008065399947</v>
      </c>
      <c r="X50" s="1">
        <f t="shared" si="30"/>
        <v>12566.466287294395</v>
      </c>
      <c r="Y50" s="1">
        <f t="shared" si="30"/>
        <v>13514.364176416988</v>
      </c>
      <c r="Z50" s="1">
        <f t="shared" si="30"/>
        <v>14506.505856174917</v>
      </c>
      <c r="AA50" s="1">
        <f t="shared" si="30"/>
        <v>15544.772143820606</v>
      </c>
      <c r="AB50" s="1">
        <f t="shared" si="30"/>
        <v>16631.123810730787</v>
      </c>
      <c r="AC50" s="1">
        <f t="shared" si="30"/>
        <v>17767.604981281096</v>
      </c>
      <c r="AD50" s="1">
        <f t="shared" si="30"/>
        <v>18956.346676207941</v>
      </c>
      <c r="AE50" s="1">
        <f t="shared" si="30"/>
        <v>20199.570506599703</v>
      </c>
    </row>
    <row r="51" spans="1:31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</sheetData>
  <dataConsolidate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E36E6-6720-401A-8BFB-5D3F6B1052B4}">
  <dimension ref="A1:N14"/>
  <sheetViews>
    <sheetView workbookViewId="0">
      <selection activeCell="C12" sqref="C12"/>
    </sheetView>
  </sheetViews>
  <sheetFormatPr baseColWidth="10" defaultRowHeight="15" x14ac:dyDescent="0.25"/>
  <cols>
    <col min="1" max="1" width="13.85546875" bestFit="1" customWidth="1"/>
    <col min="2" max="2" width="18.42578125" bestFit="1" customWidth="1"/>
    <col min="3" max="3" width="10.28515625" bestFit="1" customWidth="1"/>
    <col min="4" max="10" width="12" bestFit="1" customWidth="1"/>
    <col min="11" max="14" width="10.85546875" bestFit="1" customWidth="1"/>
  </cols>
  <sheetData>
    <row r="1" spans="1:14" x14ac:dyDescent="0.25">
      <c r="A1" t="s">
        <v>75</v>
      </c>
      <c r="B1" s="1">
        <v>100000</v>
      </c>
    </row>
    <row r="2" spans="1:14" x14ac:dyDescent="0.25">
      <c r="A2" t="s">
        <v>74</v>
      </c>
      <c r="B2" s="69">
        <v>2E-3</v>
      </c>
    </row>
    <row r="3" spans="1:14" x14ac:dyDescent="0.25">
      <c r="B3" s="1">
        <f>B1*(1-B2)</f>
        <v>99800</v>
      </c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</row>
    <row r="4" spans="1:14" x14ac:dyDescent="0.25">
      <c r="C4" s="1">
        <f>B3</f>
        <v>99800</v>
      </c>
      <c r="D4" s="1">
        <f t="shared" ref="D4:N4" si="0">(1+$B5)*C4</f>
        <v>100798</v>
      </c>
      <c r="E4" s="1">
        <f t="shared" si="0"/>
        <v>101805.98</v>
      </c>
      <c r="F4" s="1">
        <f t="shared" si="0"/>
        <v>102824.0398</v>
      </c>
      <c r="G4" s="1">
        <f t="shared" si="0"/>
        <v>103852.28019799999</v>
      </c>
      <c r="H4" s="1">
        <f t="shared" si="0"/>
        <v>104890.80299997999</v>
      </c>
      <c r="I4" s="1">
        <f t="shared" si="0"/>
        <v>105939.71102997979</v>
      </c>
      <c r="J4" s="1">
        <f t="shared" si="0"/>
        <v>106999.1081402796</v>
      </c>
      <c r="K4" s="1">
        <f t="shared" si="0"/>
        <v>108069.09922168239</v>
      </c>
      <c r="L4" s="1">
        <f t="shared" si="0"/>
        <v>109149.79021389922</v>
      </c>
      <c r="M4" s="1">
        <f t="shared" si="0"/>
        <v>110241.28811603821</v>
      </c>
      <c r="N4" s="1">
        <f t="shared" si="0"/>
        <v>111343.7009971986</v>
      </c>
    </row>
    <row r="5" spans="1:14" x14ac:dyDescent="0.25">
      <c r="A5" t="s">
        <v>34</v>
      </c>
      <c r="B5" s="70">
        <v>0.01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t="s">
        <v>38</v>
      </c>
      <c r="B6" s="69">
        <v>0.04</v>
      </c>
      <c r="C6" s="1">
        <f t="shared" ref="C6:N6" si="1">C4*$B6</f>
        <v>3992</v>
      </c>
      <c r="D6" s="1">
        <f t="shared" si="1"/>
        <v>4031.92</v>
      </c>
      <c r="E6" s="1">
        <f t="shared" si="1"/>
        <v>4072.2392</v>
      </c>
      <c r="F6" s="1">
        <f t="shared" si="1"/>
        <v>4112.9615919999997</v>
      </c>
      <c r="G6" s="1">
        <f t="shared" si="1"/>
        <v>4154.0912079199998</v>
      </c>
      <c r="H6" s="1">
        <f t="shared" si="1"/>
        <v>4195.6321199991999</v>
      </c>
      <c r="I6" s="1">
        <f t="shared" si="1"/>
        <v>4237.5884411991919</v>
      </c>
      <c r="J6" s="1">
        <f t="shared" si="1"/>
        <v>4279.964325611184</v>
      </c>
      <c r="K6" s="1">
        <f t="shared" si="1"/>
        <v>4322.7639688672962</v>
      </c>
      <c r="L6" s="1">
        <f t="shared" si="1"/>
        <v>4365.9916085559689</v>
      </c>
      <c r="M6" s="1">
        <f t="shared" si="1"/>
        <v>4409.6515246415283</v>
      </c>
      <c r="N6" s="1">
        <f t="shared" si="1"/>
        <v>4453.7480398879443</v>
      </c>
    </row>
    <row r="7" spans="1:14" x14ac:dyDescent="0.25">
      <c r="A7" t="s">
        <v>73</v>
      </c>
      <c r="B7" s="70">
        <v>0.17</v>
      </c>
      <c r="C7" s="1">
        <f t="shared" ref="C7:N7" si="2">-(C6*$B6)</f>
        <v>-159.68</v>
      </c>
      <c r="D7" s="1">
        <f t="shared" si="2"/>
        <v>-161.27680000000001</v>
      </c>
      <c r="E7" s="1">
        <f t="shared" si="2"/>
        <v>-162.889568</v>
      </c>
      <c r="F7" s="1">
        <f t="shared" si="2"/>
        <v>-164.51846368</v>
      </c>
      <c r="G7" s="1">
        <f t="shared" si="2"/>
        <v>-166.16364831679999</v>
      </c>
      <c r="H7" s="1">
        <f t="shared" si="2"/>
        <v>-167.82528479996799</v>
      </c>
      <c r="I7" s="1">
        <f t="shared" si="2"/>
        <v>-169.50353764796768</v>
      </c>
      <c r="J7" s="1">
        <f t="shared" si="2"/>
        <v>-171.19857302444737</v>
      </c>
      <c r="K7" s="1">
        <f t="shared" si="2"/>
        <v>-172.91055875469186</v>
      </c>
      <c r="L7" s="1">
        <f t="shared" si="2"/>
        <v>-174.63966434223877</v>
      </c>
      <c r="M7" s="1">
        <f t="shared" si="2"/>
        <v>-176.38606098566115</v>
      </c>
      <c r="N7" s="1">
        <f t="shared" si="2"/>
        <v>-178.14992159551778</v>
      </c>
    </row>
    <row r="8" spans="1:14" x14ac:dyDescent="0.25">
      <c r="A8" t="s">
        <v>72</v>
      </c>
      <c r="B8" s="69">
        <f>0.7% +1.3%</f>
        <v>0.02</v>
      </c>
      <c r="C8" s="1">
        <f t="shared" ref="C8:N8" si="3">-C4*$B8</f>
        <v>-1996</v>
      </c>
      <c r="D8" s="1">
        <f t="shared" si="3"/>
        <v>-2015.96</v>
      </c>
      <c r="E8" s="1">
        <f t="shared" si="3"/>
        <v>-2036.1196</v>
      </c>
      <c r="F8" s="1">
        <f t="shared" si="3"/>
        <v>-2056.4807959999998</v>
      </c>
      <c r="G8" s="1">
        <f t="shared" si="3"/>
        <v>-2077.0456039599999</v>
      </c>
      <c r="H8" s="1">
        <f t="shared" si="3"/>
        <v>-2097.8160599995999</v>
      </c>
      <c r="I8" s="1">
        <f t="shared" si="3"/>
        <v>-2118.794220599596</v>
      </c>
      <c r="J8" s="1">
        <f t="shared" si="3"/>
        <v>-2139.982162805592</v>
      </c>
      <c r="K8" s="1">
        <f t="shared" si="3"/>
        <v>-2161.3819844336481</v>
      </c>
      <c r="L8" s="1">
        <f t="shared" si="3"/>
        <v>-2182.9958042779845</v>
      </c>
      <c r="M8" s="1">
        <f t="shared" si="3"/>
        <v>-2204.8257623207642</v>
      </c>
      <c r="N8" s="1">
        <f t="shared" si="3"/>
        <v>-2226.8740199439721</v>
      </c>
    </row>
    <row r="9" spans="1:14" x14ac:dyDescent="0.25">
      <c r="B9" s="42" t="s">
        <v>71</v>
      </c>
      <c r="C9" s="1">
        <f t="shared" ref="C9:N9" si="4">C6+C7+C8</f>
        <v>1836.3200000000002</v>
      </c>
      <c r="D9" s="1">
        <f t="shared" si="4"/>
        <v>1854.6831999999999</v>
      </c>
      <c r="E9" s="1">
        <f t="shared" si="4"/>
        <v>1873.2300319999999</v>
      </c>
      <c r="F9" s="1">
        <f t="shared" si="4"/>
        <v>1891.9623323199999</v>
      </c>
      <c r="G9" s="1">
        <f t="shared" si="4"/>
        <v>1910.8819556431999</v>
      </c>
      <c r="H9" s="1">
        <f t="shared" si="4"/>
        <v>1929.990775199632</v>
      </c>
      <c r="I9" s="1">
        <f t="shared" si="4"/>
        <v>1949.2906829516282</v>
      </c>
      <c r="J9" s="1">
        <f t="shared" si="4"/>
        <v>1968.7835897811442</v>
      </c>
      <c r="K9" s="1">
        <f t="shared" si="4"/>
        <v>1988.4714256789562</v>
      </c>
      <c r="L9" s="1">
        <f t="shared" si="4"/>
        <v>2008.3561399357459</v>
      </c>
      <c r="M9" s="1">
        <f t="shared" si="4"/>
        <v>2028.4397013351031</v>
      </c>
      <c r="N9" s="1">
        <f t="shared" si="4"/>
        <v>2048.7240983484539</v>
      </c>
    </row>
    <row r="10" spans="1:14" x14ac:dyDescent="0.25">
      <c r="B10" t="s">
        <v>70</v>
      </c>
      <c r="C10" s="1">
        <f>C9</f>
        <v>1836.3200000000002</v>
      </c>
      <c r="D10" s="1">
        <f t="shared" ref="D10:N10" si="5">D9+C10</f>
        <v>3691.0032000000001</v>
      </c>
      <c r="E10" s="1">
        <f t="shared" si="5"/>
        <v>5564.2332320000005</v>
      </c>
      <c r="F10" s="1">
        <f t="shared" si="5"/>
        <v>7456.1955643199999</v>
      </c>
      <c r="G10" s="1">
        <f t="shared" si="5"/>
        <v>9367.0775199632008</v>
      </c>
      <c r="H10" s="1">
        <f t="shared" si="5"/>
        <v>11297.068295162833</v>
      </c>
      <c r="I10" s="1">
        <f t="shared" si="5"/>
        <v>13246.358978114462</v>
      </c>
      <c r="J10" s="1">
        <f t="shared" si="5"/>
        <v>15215.142567895606</v>
      </c>
      <c r="K10" s="1">
        <f t="shared" si="5"/>
        <v>17203.613993574563</v>
      </c>
      <c r="L10" s="1">
        <f t="shared" si="5"/>
        <v>19211.970133510309</v>
      </c>
      <c r="M10" s="1">
        <f t="shared" si="5"/>
        <v>21240.409834845414</v>
      </c>
      <c r="N10" s="1">
        <f t="shared" si="5"/>
        <v>23289.133933193869</v>
      </c>
    </row>
    <row r="11" spans="1:14" x14ac:dyDescent="0.25">
      <c r="C11" s="1">
        <f t="shared" ref="C11:N11" si="6">C10+C4</f>
        <v>101636.32</v>
      </c>
      <c r="D11" s="1">
        <f t="shared" si="6"/>
        <v>104489.00320000001</v>
      </c>
      <c r="E11" s="1">
        <f t="shared" si="6"/>
        <v>107370.21323199999</v>
      </c>
      <c r="F11" s="1">
        <f t="shared" si="6"/>
        <v>110280.23536432</v>
      </c>
      <c r="G11" s="1">
        <f t="shared" si="6"/>
        <v>113219.3577179632</v>
      </c>
      <c r="H11" s="1">
        <f t="shared" si="6"/>
        <v>116187.87129514283</v>
      </c>
      <c r="I11" s="1">
        <f t="shared" si="6"/>
        <v>119186.07000809425</v>
      </c>
      <c r="J11" s="1">
        <f t="shared" si="6"/>
        <v>122214.2507081752</v>
      </c>
      <c r="K11" s="1">
        <f t="shared" si="6"/>
        <v>125272.71321525695</v>
      </c>
      <c r="L11" s="1">
        <f t="shared" si="6"/>
        <v>128361.76034740952</v>
      </c>
      <c r="M11" s="1">
        <f t="shared" si="6"/>
        <v>131481.69795088362</v>
      </c>
      <c r="N11" s="1">
        <f t="shared" si="6"/>
        <v>134632.83493039248</v>
      </c>
    </row>
    <row r="12" spans="1:14" x14ac:dyDescent="0.25">
      <c r="B12" t="s">
        <v>77</v>
      </c>
      <c r="C12" s="46">
        <v>0.3</v>
      </c>
      <c r="D12" s="46">
        <v>0.3</v>
      </c>
      <c r="E12" s="46">
        <v>0.3</v>
      </c>
      <c r="F12" s="46">
        <v>0.3</v>
      </c>
      <c r="G12" s="46">
        <v>0.3</v>
      </c>
      <c r="H12" s="46">
        <v>0.3</v>
      </c>
      <c r="I12" s="46">
        <v>0.3</v>
      </c>
      <c r="J12" s="46">
        <v>0.3</v>
      </c>
      <c r="K12" s="46"/>
      <c r="L12" s="46"/>
      <c r="M12" s="46"/>
      <c r="N12" s="46"/>
    </row>
    <row r="13" spans="1:14" x14ac:dyDescent="0.25">
      <c r="C13" s="1">
        <f t="shared" ref="C13:N13" si="7">(C11-$B$3)*C12</f>
        <v>550.89600000000212</v>
      </c>
      <c r="D13" s="1">
        <f t="shared" si="7"/>
        <v>1406.7009600000019</v>
      </c>
      <c r="E13" s="1">
        <f t="shared" si="7"/>
        <v>2271.0639695999985</v>
      </c>
      <c r="F13" s="1">
        <f t="shared" si="7"/>
        <v>3144.0706092960013</v>
      </c>
      <c r="G13" s="1">
        <f t="shared" si="7"/>
        <v>4025.8073153889591</v>
      </c>
      <c r="H13" s="1">
        <f t="shared" si="7"/>
        <v>4916.3613885428495</v>
      </c>
      <c r="I13" s="1">
        <f t="shared" si="7"/>
        <v>5815.8210024282744</v>
      </c>
      <c r="J13" s="1">
        <f t="shared" si="7"/>
        <v>6724.2752124525587</v>
      </c>
      <c r="K13" s="1">
        <f t="shared" si="7"/>
        <v>0</v>
      </c>
      <c r="L13" s="1">
        <f t="shared" si="7"/>
        <v>0</v>
      </c>
      <c r="M13" s="1">
        <f t="shared" si="7"/>
        <v>0</v>
      </c>
      <c r="N13" s="1">
        <f t="shared" si="7"/>
        <v>0</v>
      </c>
    </row>
    <row r="14" spans="1:14" x14ac:dyDescent="0.25">
      <c r="B14" s="67" t="s">
        <v>76</v>
      </c>
      <c r="C14" s="66">
        <f t="shared" ref="C14:N14" si="8">C11-C13</f>
        <v>101085.424</v>
      </c>
      <c r="D14" s="66">
        <f t="shared" si="8"/>
        <v>103082.30224</v>
      </c>
      <c r="E14" s="66">
        <f t="shared" si="8"/>
        <v>105099.14926239999</v>
      </c>
      <c r="F14" s="66">
        <f t="shared" si="8"/>
        <v>107136.164755024</v>
      </c>
      <c r="G14" s="66">
        <f t="shared" si="8"/>
        <v>109193.55040257424</v>
      </c>
      <c r="H14" s="66">
        <f t="shared" si="8"/>
        <v>111271.50990659998</v>
      </c>
      <c r="I14" s="66">
        <f t="shared" si="8"/>
        <v>113370.24900566597</v>
      </c>
      <c r="J14" s="66">
        <f t="shared" si="8"/>
        <v>115489.97549572264</v>
      </c>
      <c r="K14" s="66">
        <f t="shared" si="8"/>
        <v>125272.71321525695</v>
      </c>
      <c r="L14" s="66">
        <f t="shared" si="8"/>
        <v>128361.76034740952</v>
      </c>
      <c r="M14" s="66">
        <f t="shared" si="8"/>
        <v>131481.69795088362</v>
      </c>
      <c r="N14" s="66">
        <f t="shared" si="8"/>
        <v>134632.83493039248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FCB3E-1D0A-4D72-BF99-53D70543A4CD}">
  <dimension ref="A2:N16"/>
  <sheetViews>
    <sheetView workbookViewId="0"/>
  </sheetViews>
  <sheetFormatPr baseColWidth="10" defaultRowHeight="15" x14ac:dyDescent="0.25"/>
  <cols>
    <col min="1" max="1" width="13.85546875" bestFit="1" customWidth="1"/>
    <col min="2" max="2" width="18.42578125" bestFit="1" customWidth="1"/>
    <col min="3" max="3" width="10.28515625" bestFit="1" customWidth="1"/>
    <col min="4" max="10" width="12" bestFit="1" customWidth="1"/>
    <col min="11" max="14" width="10.85546875" bestFit="1" customWidth="1"/>
  </cols>
  <sheetData>
    <row r="2" spans="1:14" x14ac:dyDescent="0.25">
      <c r="A2" t="s">
        <v>75</v>
      </c>
      <c r="B2" s="1">
        <v>100000</v>
      </c>
    </row>
    <row r="3" spans="1:14" x14ac:dyDescent="0.25">
      <c r="A3" t="s">
        <v>74</v>
      </c>
      <c r="B3" s="69">
        <v>0.12</v>
      </c>
    </row>
    <row r="4" spans="1:14" x14ac:dyDescent="0.25">
      <c r="B4" s="1">
        <f>B2*(1-B3)</f>
        <v>88000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</row>
    <row r="5" spans="1:14" x14ac:dyDescent="0.25">
      <c r="C5" s="1">
        <f>B4</f>
        <v>88000</v>
      </c>
      <c r="D5" s="1">
        <f t="shared" ref="D5:N5" si="0">(1+$B6)*C5</f>
        <v>88880</v>
      </c>
      <c r="E5" s="1">
        <f t="shared" si="0"/>
        <v>89768.8</v>
      </c>
      <c r="F5" s="1">
        <f t="shared" si="0"/>
        <v>90666.487999999998</v>
      </c>
      <c r="G5" s="1">
        <f t="shared" si="0"/>
        <v>91573.152879999994</v>
      </c>
      <c r="H5" s="1">
        <f t="shared" si="0"/>
        <v>92488.88440879999</v>
      </c>
      <c r="I5" s="1">
        <f t="shared" si="0"/>
        <v>93413.773252887986</v>
      </c>
      <c r="J5" s="1">
        <f t="shared" si="0"/>
        <v>94347.910985416864</v>
      </c>
      <c r="K5" s="1">
        <f t="shared" si="0"/>
        <v>95291.390095271039</v>
      </c>
      <c r="L5" s="1">
        <f t="shared" si="0"/>
        <v>96244.303996223753</v>
      </c>
      <c r="M5" s="1">
        <f t="shared" si="0"/>
        <v>97206.747036185989</v>
      </c>
      <c r="N5" s="1">
        <f t="shared" si="0"/>
        <v>98178.814506547846</v>
      </c>
    </row>
    <row r="6" spans="1:14" x14ac:dyDescent="0.25">
      <c r="A6" t="s">
        <v>34</v>
      </c>
      <c r="B6" s="70">
        <v>0.01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t="s">
        <v>38</v>
      </c>
      <c r="B7" s="69">
        <v>0.05</v>
      </c>
      <c r="C7" s="1">
        <f t="shared" ref="C7:N7" si="1">$B$2*$B7</f>
        <v>5000</v>
      </c>
      <c r="D7" s="1">
        <f t="shared" si="1"/>
        <v>5000</v>
      </c>
      <c r="E7" s="1">
        <f t="shared" si="1"/>
        <v>5000</v>
      </c>
      <c r="F7" s="1">
        <f t="shared" si="1"/>
        <v>5000</v>
      </c>
      <c r="G7" s="1">
        <f t="shared" si="1"/>
        <v>5000</v>
      </c>
      <c r="H7" s="1">
        <f t="shared" si="1"/>
        <v>5000</v>
      </c>
      <c r="I7" s="1">
        <f t="shared" si="1"/>
        <v>5000</v>
      </c>
      <c r="J7" s="1">
        <f t="shared" si="1"/>
        <v>5000</v>
      </c>
      <c r="K7" s="1">
        <f t="shared" si="1"/>
        <v>5000</v>
      </c>
      <c r="L7" s="1">
        <f t="shared" si="1"/>
        <v>5000</v>
      </c>
      <c r="M7" s="1">
        <f t="shared" si="1"/>
        <v>5000</v>
      </c>
      <c r="N7" s="1">
        <f t="shared" si="1"/>
        <v>5000</v>
      </c>
    </row>
    <row r="8" spans="1:14" x14ac:dyDescent="0.25">
      <c r="A8" t="s">
        <v>73</v>
      </c>
      <c r="B8" s="70">
        <v>0.2</v>
      </c>
      <c r="C8" s="1">
        <f t="shared" ref="C8:N8" si="2">-(C7*$B8)</f>
        <v>-1000</v>
      </c>
      <c r="D8" s="1">
        <f t="shared" si="2"/>
        <v>-1000</v>
      </c>
      <c r="E8" s="1">
        <f t="shared" si="2"/>
        <v>-1000</v>
      </c>
      <c r="F8" s="1">
        <f t="shared" si="2"/>
        <v>-1000</v>
      </c>
      <c r="G8" s="1">
        <f t="shared" si="2"/>
        <v>-1000</v>
      </c>
      <c r="H8" s="1">
        <f t="shared" si="2"/>
        <v>-1000</v>
      </c>
      <c r="I8" s="1">
        <f t="shared" si="2"/>
        <v>-1000</v>
      </c>
      <c r="J8" s="1">
        <f t="shared" si="2"/>
        <v>-1000</v>
      </c>
      <c r="K8" s="1">
        <f t="shared" si="2"/>
        <v>-1000</v>
      </c>
      <c r="L8" s="1">
        <f t="shared" si="2"/>
        <v>-1000</v>
      </c>
      <c r="M8" s="1">
        <f t="shared" si="2"/>
        <v>-1000</v>
      </c>
      <c r="N8" s="1">
        <f t="shared" si="2"/>
        <v>-1000</v>
      </c>
    </row>
    <row r="9" spans="1:14" x14ac:dyDescent="0.25">
      <c r="A9" t="s">
        <v>72</v>
      </c>
      <c r="B9" s="69">
        <v>0</v>
      </c>
      <c r="C9" s="1">
        <f t="shared" ref="C9:N9" si="3">-C5*$B9</f>
        <v>0</v>
      </c>
      <c r="D9" s="1">
        <f t="shared" si="3"/>
        <v>0</v>
      </c>
      <c r="E9" s="1">
        <f t="shared" si="3"/>
        <v>0</v>
      </c>
      <c r="F9" s="1">
        <f t="shared" si="3"/>
        <v>0</v>
      </c>
      <c r="G9" s="1">
        <f t="shared" si="3"/>
        <v>0</v>
      </c>
      <c r="H9" s="1">
        <f t="shared" si="3"/>
        <v>0</v>
      </c>
      <c r="I9" s="1">
        <f t="shared" si="3"/>
        <v>0</v>
      </c>
      <c r="J9" s="1">
        <f t="shared" si="3"/>
        <v>0</v>
      </c>
      <c r="K9" s="1">
        <f t="shared" si="3"/>
        <v>0</v>
      </c>
      <c r="L9" s="1">
        <f t="shared" si="3"/>
        <v>0</v>
      </c>
      <c r="M9" s="1">
        <f t="shared" si="3"/>
        <v>0</v>
      </c>
      <c r="N9" s="1">
        <f t="shared" si="3"/>
        <v>0</v>
      </c>
    </row>
    <row r="10" spans="1:14" x14ac:dyDescent="0.25">
      <c r="B10" s="42" t="s">
        <v>71</v>
      </c>
      <c r="C10" s="1">
        <f t="shared" ref="C10:N10" si="4">C7+C8+C9</f>
        <v>4000</v>
      </c>
      <c r="D10" s="1">
        <f t="shared" si="4"/>
        <v>4000</v>
      </c>
      <c r="E10" s="1">
        <f t="shared" si="4"/>
        <v>4000</v>
      </c>
      <c r="F10" s="1">
        <f t="shared" si="4"/>
        <v>4000</v>
      </c>
      <c r="G10" s="1">
        <f t="shared" si="4"/>
        <v>4000</v>
      </c>
      <c r="H10" s="1">
        <f t="shared" si="4"/>
        <v>4000</v>
      </c>
      <c r="I10" s="1">
        <f t="shared" si="4"/>
        <v>4000</v>
      </c>
      <c r="J10" s="1">
        <f t="shared" si="4"/>
        <v>4000</v>
      </c>
      <c r="K10" s="1">
        <f t="shared" si="4"/>
        <v>4000</v>
      </c>
      <c r="L10" s="1">
        <f t="shared" si="4"/>
        <v>4000</v>
      </c>
      <c r="M10" s="1">
        <f t="shared" si="4"/>
        <v>4000</v>
      </c>
      <c r="N10" s="1">
        <f t="shared" si="4"/>
        <v>4000</v>
      </c>
    </row>
    <row r="11" spans="1:14" x14ac:dyDescent="0.25">
      <c r="B11" t="s">
        <v>70</v>
      </c>
      <c r="C11" s="1">
        <f>C10</f>
        <v>4000</v>
      </c>
      <c r="D11" s="1">
        <f t="shared" ref="D11:N11" si="5">D10+C11</f>
        <v>8000</v>
      </c>
      <c r="E11" s="1">
        <f t="shared" si="5"/>
        <v>12000</v>
      </c>
      <c r="F11" s="1">
        <f t="shared" si="5"/>
        <v>16000</v>
      </c>
      <c r="G11" s="1">
        <f t="shared" si="5"/>
        <v>20000</v>
      </c>
      <c r="H11" s="1">
        <f t="shared" si="5"/>
        <v>24000</v>
      </c>
      <c r="I11" s="1">
        <f t="shared" si="5"/>
        <v>28000</v>
      </c>
      <c r="J11" s="1">
        <f t="shared" si="5"/>
        <v>32000</v>
      </c>
      <c r="K11" s="1">
        <f t="shared" si="5"/>
        <v>36000</v>
      </c>
      <c r="L11" s="1">
        <f t="shared" si="5"/>
        <v>40000</v>
      </c>
      <c r="M11" s="1">
        <f t="shared" si="5"/>
        <v>44000</v>
      </c>
      <c r="N11" s="1">
        <f t="shared" si="5"/>
        <v>48000</v>
      </c>
    </row>
    <row r="12" spans="1:14" x14ac:dyDescent="0.25">
      <c r="B12" s="68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C13" s="1">
        <f t="shared" ref="C13:N13" si="6">C11+C5</f>
        <v>92000</v>
      </c>
      <c r="D13" s="1">
        <f t="shared" si="6"/>
        <v>96880</v>
      </c>
      <c r="E13" s="1">
        <f t="shared" si="6"/>
        <v>101768.8</v>
      </c>
      <c r="F13" s="1">
        <f t="shared" si="6"/>
        <v>106666.488</v>
      </c>
      <c r="G13" s="1">
        <f t="shared" si="6"/>
        <v>111573.15287999999</v>
      </c>
      <c r="H13" s="1">
        <f t="shared" si="6"/>
        <v>116488.88440879999</v>
      </c>
      <c r="I13" s="1">
        <f t="shared" si="6"/>
        <v>121413.77325288799</v>
      </c>
      <c r="J13" s="1">
        <f t="shared" si="6"/>
        <v>126347.91098541686</v>
      </c>
      <c r="K13" s="1">
        <f t="shared" si="6"/>
        <v>131291.39009527105</v>
      </c>
      <c r="L13" s="1">
        <f t="shared" si="6"/>
        <v>136244.30399622375</v>
      </c>
      <c r="M13" s="1">
        <f t="shared" si="6"/>
        <v>141206.74703618599</v>
      </c>
      <c r="N13" s="1">
        <f t="shared" si="6"/>
        <v>146178.81450654785</v>
      </c>
    </row>
    <row r="14" spans="1:14" x14ac:dyDescent="0.25">
      <c r="B14" t="s">
        <v>69</v>
      </c>
      <c r="C14" s="46">
        <v>0.3</v>
      </c>
      <c r="D14" s="46">
        <v>0.3</v>
      </c>
      <c r="E14" s="46">
        <v>0.3</v>
      </c>
      <c r="F14" s="46">
        <v>0.3</v>
      </c>
      <c r="G14" s="46">
        <v>0.3</v>
      </c>
      <c r="H14" s="46">
        <v>0.3</v>
      </c>
      <c r="I14" s="46">
        <v>0.3</v>
      </c>
      <c r="J14" s="46">
        <v>0.3</v>
      </c>
      <c r="K14" s="46">
        <v>0.3</v>
      </c>
      <c r="L14" s="46">
        <v>0.3</v>
      </c>
      <c r="M14" s="46">
        <v>0.3</v>
      </c>
      <c r="N14" s="46">
        <v>0.3</v>
      </c>
    </row>
    <row r="15" spans="1:14" x14ac:dyDescent="0.25">
      <c r="C15" s="1" t="e">
        <f>(C13-#REF!)*C14</f>
        <v>#REF!</v>
      </c>
      <c r="D15" s="1" t="e">
        <f>(D13-#REF!)*D14</f>
        <v>#REF!</v>
      </c>
      <c r="E15" s="1" t="e">
        <f>(E13-#REF!)*E14</f>
        <v>#REF!</v>
      </c>
      <c r="F15" s="1" t="e">
        <f>(F13-#REF!)*F14</f>
        <v>#REF!</v>
      </c>
      <c r="G15" s="1" t="e">
        <f>(G13-#REF!)*G14</f>
        <v>#REF!</v>
      </c>
      <c r="H15" s="1" t="e">
        <f>(H13-#REF!)*H14</f>
        <v>#REF!</v>
      </c>
      <c r="I15" s="1" t="e">
        <f>(I13-#REF!)*I14</f>
        <v>#REF!</v>
      </c>
      <c r="J15" s="1" t="e">
        <f>(J13-#REF!)*J14</f>
        <v>#REF!</v>
      </c>
      <c r="K15" s="1" t="e">
        <f>(K13-#REF!)*K14</f>
        <v>#REF!</v>
      </c>
      <c r="L15" s="1" t="e">
        <f>(L13-#REF!)*L14</f>
        <v>#REF!</v>
      </c>
      <c r="M15" s="1" t="e">
        <f>(M13-#REF!)*M14</f>
        <v>#REF!</v>
      </c>
      <c r="N15" s="1" t="e">
        <f>(N13-#REF!)*N14</f>
        <v>#REF!</v>
      </c>
    </row>
    <row r="16" spans="1:14" x14ac:dyDescent="0.25">
      <c r="B16" s="67" t="s">
        <v>68</v>
      </c>
      <c r="C16" s="66" t="e">
        <f t="shared" ref="C16:N16" si="7">C13-C15</f>
        <v>#REF!</v>
      </c>
      <c r="D16" s="66" t="e">
        <f t="shared" si="7"/>
        <v>#REF!</v>
      </c>
      <c r="E16" s="66" t="e">
        <f t="shared" si="7"/>
        <v>#REF!</v>
      </c>
      <c r="F16" s="66" t="e">
        <f t="shared" si="7"/>
        <v>#REF!</v>
      </c>
      <c r="G16" s="66" t="e">
        <f t="shared" si="7"/>
        <v>#REF!</v>
      </c>
      <c r="H16" s="66" t="e">
        <f t="shared" si="7"/>
        <v>#REF!</v>
      </c>
      <c r="I16" s="66" t="e">
        <f t="shared" si="7"/>
        <v>#REF!</v>
      </c>
      <c r="J16" s="66" t="e">
        <f t="shared" si="7"/>
        <v>#REF!</v>
      </c>
      <c r="K16" s="66" t="e">
        <f t="shared" si="7"/>
        <v>#REF!</v>
      </c>
      <c r="L16" s="66" t="e">
        <f t="shared" si="7"/>
        <v>#REF!</v>
      </c>
      <c r="M16" s="66" t="e">
        <f t="shared" si="7"/>
        <v>#REF!</v>
      </c>
      <c r="N16" s="66" t="e">
        <f t="shared" si="7"/>
        <v>#REF!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A1BB9-88A6-47B1-8153-A722B7D4EEA1}">
  <dimension ref="A1:N30"/>
  <sheetViews>
    <sheetView workbookViewId="0"/>
  </sheetViews>
  <sheetFormatPr baseColWidth="10" defaultRowHeight="15" x14ac:dyDescent="0.25"/>
  <cols>
    <col min="1" max="1" width="13.85546875" bestFit="1" customWidth="1"/>
    <col min="2" max="2" width="18.42578125" bestFit="1" customWidth="1"/>
    <col min="3" max="3" width="10.28515625" bestFit="1" customWidth="1"/>
    <col min="4" max="10" width="12" bestFit="1" customWidth="1"/>
    <col min="11" max="14" width="10.85546875" bestFit="1" customWidth="1"/>
  </cols>
  <sheetData>
    <row r="1" spans="1:14" x14ac:dyDescent="0.25">
      <c r="A1" t="s">
        <v>75</v>
      </c>
      <c r="B1" s="1">
        <v>100000</v>
      </c>
    </row>
    <row r="2" spans="1:14" x14ac:dyDescent="0.25">
      <c r="A2" t="s">
        <v>74</v>
      </c>
      <c r="B2" s="69">
        <v>2E-3</v>
      </c>
    </row>
    <row r="3" spans="1:14" x14ac:dyDescent="0.25">
      <c r="B3" s="1">
        <f>B1*(1-B2)</f>
        <v>99800</v>
      </c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</row>
    <row r="4" spans="1:14" x14ac:dyDescent="0.25">
      <c r="C4" s="1">
        <f>B3</f>
        <v>99800</v>
      </c>
      <c r="D4" s="1">
        <f t="shared" ref="D4:N4" si="0">(1+$B5)*C4</f>
        <v>100798</v>
      </c>
      <c r="E4" s="1">
        <f t="shared" si="0"/>
        <v>101805.98</v>
      </c>
      <c r="F4" s="1">
        <f t="shared" si="0"/>
        <v>102824.0398</v>
      </c>
      <c r="G4" s="1">
        <f t="shared" si="0"/>
        <v>103852.28019799999</v>
      </c>
      <c r="H4" s="1">
        <f t="shared" si="0"/>
        <v>104890.80299997999</v>
      </c>
      <c r="I4" s="1">
        <f t="shared" si="0"/>
        <v>105939.71102997979</v>
      </c>
      <c r="J4" s="1">
        <f t="shared" si="0"/>
        <v>106999.1081402796</v>
      </c>
      <c r="K4" s="1">
        <f t="shared" si="0"/>
        <v>108069.09922168239</v>
      </c>
      <c r="L4" s="1">
        <f t="shared" si="0"/>
        <v>109149.79021389922</v>
      </c>
      <c r="M4" s="1">
        <f t="shared" si="0"/>
        <v>110241.28811603821</v>
      </c>
      <c r="N4" s="1">
        <f t="shared" si="0"/>
        <v>111343.7009971986</v>
      </c>
    </row>
    <row r="5" spans="1:14" x14ac:dyDescent="0.25">
      <c r="A5" t="s">
        <v>34</v>
      </c>
      <c r="B5" s="70">
        <v>0.01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t="s">
        <v>38</v>
      </c>
      <c r="B6" s="69">
        <v>0.04</v>
      </c>
      <c r="C6" s="1">
        <f t="shared" ref="C6:N6" si="1">C4*$B6</f>
        <v>3992</v>
      </c>
      <c r="D6" s="1">
        <f t="shared" si="1"/>
        <v>4031.92</v>
      </c>
      <c r="E6" s="1">
        <f t="shared" si="1"/>
        <v>4072.2392</v>
      </c>
      <c r="F6" s="1">
        <f t="shared" si="1"/>
        <v>4112.9615919999997</v>
      </c>
      <c r="G6" s="1">
        <f t="shared" si="1"/>
        <v>4154.0912079199998</v>
      </c>
      <c r="H6" s="1">
        <f t="shared" si="1"/>
        <v>4195.6321199991999</v>
      </c>
      <c r="I6" s="1">
        <f t="shared" si="1"/>
        <v>4237.5884411991919</v>
      </c>
      <c r="J6" s="1">
        <f t="shared" si="1"/>
        <v>4279.964325611184</v>
      </c>
      <c r="K6" s="1">
        <f t="shared" si="1"/>
        <v>4322.7639688672962</v>
      </c>
      <c r="L6" s="1">
        <f t="shared" si="1"/>
        <v>4365.9916085559689</v>
      </c>
      <c r="M6" s="1">
        <f t="shared" si="1"/>
        <v>4409.6515246415283</v>
      </c>
      <c r="N6" s="1">
        <f t="shared" si="1"/>
        <v>4453.7480398879443</v>
      </c>
    </row>
    <row r="7" spans="1:14" x14ac:dyDescent="0.25">
      <c r="A7" t="s">
        <v>73</v>
      </c>
      <c r="B7" s="70">
        <v>0.17</v>
      </c>
      <c r="C7" s="1">
        <f t="shared" ref="C7:N7" si="2">-(C6*$B6)</f>
        <v>-159.68</v>
      </c>
      <c r="D7" s="1">
        <f t="shared" si="2"/>
        <v>-161.27680000000001</v>
      </c>
      <c r="E7" s="1">
        <f t="shared" si="2"/>
        <v>-162.889568</v>
      </c>
      <c r="F7" s="1">
        <f t="shared" si="2"/>
        <v>-164.51846368</v>
      </c>
      <c r="G7" s="1">
        <f t="shared" si="2"/>
        <v>-166.16364831679999</v>
      </c>
      <c r="H7" s="1">
        <f t="shared" si="2"/>
        <v>-167.82528479996799</v>
      </c>
      <c r="I7" s="1">
        <f t="shared" si="2"/>
        <v>-169.50353764796768</v>
      </c>
      <c r="J7" s="1">
        <f t="shared" si="2"/>
        <v>-171.19857302444737</v>
      </c>
      <c r="K7" s="1">
        <f t="shared" si="2"/>
        <v>-172.91055875469186</v>
      </c>
      <c r="L7" s="1">
        <f t="shared" si="2"/>
        <v>-174.63966434223877</v>
      </c>
      <c r="M7" s="1">
        <f t="shared" si="2"/>
        <v>-176.38606098566115</v>
      </c>
      <c r="N7" s="1">
        <f t="shared" si="2"/>
        <v>-178.14992159551778</v>
      </c>
    </row>
    <row r="8" spans="1:14" x14ac:dyDescent="0.25">
      <c r="A8" t="s">
        <v>72</v>
      </c>
      <c r="B8" s="69">
        <f>0.7% +1.3%</f>
        <v>0.02</v>
      </c>
      <c r="C8" s="1">
        <f t="shared" ref="C8:N8" si="3">-C4*$B8</f>
        <v>-1996</v>
      </c>
      <c r="D8" s="1">
        <f t="shared" si="3"/>
        <v>-2015.96</v>
      </c>
      <c r="E8" s="1">
        <f t="shared" si="3"/>
        <v>-2036.1196</v>
      </c>
      <c r="F8" s="1">
        <f t="shared" si="3"/>
        <v>-2056.4807959999998</v>
      </c>
      <c r="G8" s="1">
        <f t="shared" si="3"/>
        <v>-2077.0456039599999</v>
      </c>
      <c r="H8" s="1">
        <f t="shared" si="3"/>
        <v>-2097.8160599995999</v>
      </c>
      <c r="I8" s="1">
        <f t="shared" si="3"/>
        <v>-2118.794220599596</v>
      </c>
      <c r="J8" s="1">
        <f t="shared" si="3"/>
        <v>-2139.982162805592</v>
      </c>
      <c r="K8" s="1">
        <f t="shared" si="3"/>
        <v>-2161.3819844336481</v>
      </c>
      <c r="L8" s="1">
        <f t="shared" si="3"/>
        <v>-2182.9958042779845</v>
      </c>
      <c r="M8" s="1">
        <f t="shared" si="3"/>
        <v>-2204.8257623207642</v>
      </c>
      <c r="N8" s="1">
        <f t="shared" si="3"/>
        <v>-2226.8740199439721</v>
      </c>
    </row>
    <row r="9" spans="1:14" x14ac:dyDescent="0.25">
      <c r="B9" s="42" t="s">
        <v>71</v>
      </c>
      <c r="C9" s="1">
        <f t="shared" ref="C9:N9" si="4">C6+C7+C8</f>
        <v>1836.3200000000002</v>
      </c>
      <c r="D9" s="1">
        <f t="shared" si="4"/>
        <v>1854.6831999999999</v>
      </c>
      <c r="E9" s="1">
        <f t="shared" si="4"/>
        <v>1873.2300319999999</v>
      </c>
      <c r="F9" s="1">
        <f t="shared" si="4"/>
        <v>1891.9623323199999</v>
      </c>
      <c r="G9" s="1">
        <f t="shared" si="4"/>
        <v>1910.8819556431999</v>
      </c>
      <c r="H9" s="1">
        <f t="shared" si="4"/>
        <v>1929.990775199632</v>
      </c>
      <c r="I9" s="1">
        <f t="shared" si="4"/>
        <v>1949.2906829516282</v>
      </c>
      <c r="J9" s="1">
        <f t="shared" si="4"/>
        <v>1968.7835897811442</v>
      </c>
      <c r="K9" s="1">
        <f t="shared" si="4"/>
        <v>1988.4714256789562</v>
      </c>
      <c r="L9" s="1">
        <f t="shared" si="4"/>
        <v>2008.3561399357459</v>
      </c>
      <c r="M9" s="1">
        <f t="shared" si="4"/>
        <v>2028.4397013351031</v>
      </c>
      <c r="N9" s="1">
        <f t="shared" si="4"/>
        <v>2048.7240983484539</v>
      </c>
    </row>
    <row r="10" spans="1:14" x14ac:dyDescent="0.25">
      <c r="B10" t="s">
        <v>70</v>
      </c>
      <c r="C10" s="1">
        <f>C9</f>
        <v>1836.3200000000002</v>
      </c>
      <c r="D10" s="1">
        <f t="shared" ref="D10:N10" si="5">D9+C10</f>
        <v>3691.0032000000001</v>
      </c>
      <c r="E10" s="1">
        <f t="shared" si="5"/>
        <v>5564.2332320000005</v>
      </c>
      <c r="F10" s="1">
        <f t="shared" si="5"/>
        <v>7456.1955643199999</v>
      </c>
      <c r="G10" s="1">
        <f t="shared" si="5"/>
        <v>9367.0775199632008</v>
      </c>
      <c r="H10" s="1">
        <f t="shared" si="5"/>
        <v>11297.068295162833</v>
      </c>
      <c r="I10" s="1">
        <f t="shared" si="5"/>
        <v>13246.358978114462</v>
      </c>
      <c r="J10" s="1">
        <f t="shared" si="5"/>
        <v>15215.142567895606</v>
      </c>
      <c r="K10" s="1">
        <f t="shared" si="5"/>
        <v>17203.613993574563</v>
      </c>
      <c r="L10" s="1">
        <f t="shared" si="5"/>
        <v>19211.970133510309</v>
      </c>
      <c r="M10" s="1">
        <f t="shared" si="5"/>
        <v>21240.409834845414</v>
      </c>
      <c r="N10" s="1">
        <f t="shared" si="5"/>
        <v>23289.133933193869</v>
      </c>
    </row>
    <row r="11" spans="1:14" x14ac:dyDescent="0.25">
      <c r="C11" s="1">
        <f t="shared" ref="C11:N11" si="6">C10+C4</f>
        <v>101636.32</v>
      </c>
      <c r="D11" s="1">
        <f t="shared" si="6"/>
        <v>104489.00320000001</v>
      </c>
      <c r="E11" s="1">
        <f t="shared" si="6"/>
        <v>107370.21323199999</v>
      </c>
      <c r="F11" s="1">
        <f t="shared" si="6"/>
        <v>110280.23536432</v>
      </c>
      <c r="G11" s="1">
        <f t="shared" si="6"/>
        <v>113219.3577179632</v>
      </c>
      <c r="H11" s="1">
        <f t="shared" si="6"/>
        <v>116187.87129514283</v>
      </c>
      <c r="I11" s="1">
        <f t="shared" si="6"/>
        <v>119186.07000809425</v>
      </c>
      <c r="J11" s="1">
        <f t="shared" si="6"/>
        <v>122214.2507081752</v>
      </c>
      <c r="K11" s="1">
        <f t="shared" si="6"/>
        <v>125272.71321525695</v>
      </c>
      <c r="L11" s="1">
        <f t="shared" si="6"/>
        <v>128361.76034740952</v>
      </c>
      <c r="M11" s="1">
        <f t="shared" si="6"/>
        <v>131481.69795088362</v>
      </c>
      <c r="N11" s="1">
        <f t="shared" si="6"/>
        <v>134632.83493039248</v>
      </c>
    </row>
    <row r="12" spans="1:14" x14ac:dyDescent="0.25">
      <c r="B12" t="s">
        <v>77</v>
      </c>
      <c r="C12" s="46">
        <v>0.3</v>
      </c>
      <c r="D12" s="46">
        <v>0.3</v>
      </c>
      <c r="E12" s="46">
        <v>0.3</v>
      </c>
      <c r="F12" s="46">
        <v>0.3</v>
      </c>
      <c r="G12" s="46">
        <v>0.3</v>
      </c>
      <c r="H12" s="46">
        <v>0.3</v>
      </c>
      <c r="I12" s="46">
        <v>0.3</v>
      </c>
      <c r="J12" s="46">
        <v>0.3</v>
      </c>
      <c r="K12" s="46"/>
      <c r="L12" s="46"/>
      <c r="M12" s="46"/>
      <c r="N12" s="46"/>
    </row>
    <row r="13" spans="1:14" x14ac:dyDescent="0.25">
      <c r="C13" s="1">
        <f t="shared" ref="C13:N13" si="7">(C11-$B$3)*C12</f>
        <v>550.89600000000212</v>
      </c>
      <c r="D13" s="1">
        <f t="shared" si="7"/>
        <v>1406.7009600000019</v>
      </c>
      <c r="E13" s="1">
        <f t="shared" si="7"/>
        <v>2271.0639695999985</v>
      </c>
      <c r="F13" s="1">
        <f t="shared" si="7"/>
        <v>3144.0706092960013</v>
      </c>
      <c r="G13" s="1">
        <f t="shared" si="7"/>
        <v>4025.8073153889591</v>
      </c>
      <c r="H13" s="1">
        <f t="shared" si="7"/>
        <v>4916.3613885428495</v>
      </c>
      <c r="I13" s="1">
        <f t="shared" si="7"/>
        <v>5815.8210024282744</v>
      </c>
      <c r="J13" s="1">
        <f t="shared" si="7"/>
        <v>6724.2752124525587</v>
      </c>
      <c r="K13" s="1">
        <f t="shared" si="7"/>
        <v>0</v>
      </c>
      <c r="L13" s="1">
        <f t="shared" si="7"/>
        <v>0</v>
      </c>
      <c r="M13" s="1">
        <f t="shared" si="7"/>
        <v>0</v>
      </c>
      <c r="N13" s="1">
        <f t="shared" si="7"/>
        <v>0</v>
      </c>
    </row>
    <row r="14" spans="1:14" x14ac:dyDescent="0.25">
      <c r="B14" s="67" t="s">
        <v>76</v>
      </c>
      <c r="C14" s="66">
        <f t="shared" ref="C14:N14" si="8">C11-C13</f>
        <v>101085.424</v>
      </c>
      <c r="D14" s="66">
        <f t="shared" si="8"/>
        <v>103082.30224</v>
      </c>
      <c r="E14" s="66">
        <f t="shared" si="8"/>
        <v>105099.14926239999</v>
      </c>
      <c r="F14" s="66">
        <f t="shared" si="8"/>
        <v>107136.164755024</v>
      </c>
      <c r="G14" s="66">
        <f t="shared" si="8"/>
        <v>109193.55040257424</v>
      </c>
      <c r="H14" s="66">
        <f t="shared" si="8"/>
        <v>111271.50990659998</v>
      </c>
      <c r="I14" s="66">
        <f t="shared" si="8"/>
        <v>113370.24900566597</v>
      </c>
      <c r="J14" s="66">
        <f t="shared" si="8"/>
        <v>115489.97549572264</v>
      </c>
      <c r="K14" s="66">
        <f t="shared" si="8"/>
        <v>125272.71321525695</v>
      </c>
      <c r="L14" s="66">
        <f t="shared" si="8"/>
        <v>128361.76034740952</v>
      </c>
      <c r="M14" s="66">
        <f t="shared" si="8"/>
        <v>131481.69795088362</v>
      </c>
      <c r="N14" s="66">
        <f t="shared" si="8"/>
        <v>134632.83493039248</v>
      </c>
    </row>
    <row r="16" spans="1:14" x14ac:dyDescent="0.25">
      <c r="A16" t="s">
        <v>75</v>
      </c>
      <c r="B16" s="1">
        <v>100000</v>
      </c>
    </row>
    <row r="17" spans="1:14" x14ac:dyDescent="0.25">
      <c r="A17" t="s">
        <v>74</v>
      </c>
      <c r="B17" s="69">
        <v>0.12</v>
      </c>
    </row>
    <row r="18" spans="1:14" x14ac:dyDescent="0.25">
      <c r="B18" s="1">
        <f>B16*(1-B17)</f>
        <v>88000</v>
      </c>
      <c r="C18">
        <v>1</v>
      </c>
      <c r="D18">
        <v>2</v>
      </c>
      <c r="E18">
        <v>3</v>
      </c>
      <c r="F18">
        <v>4</v>
      </c>
      <c r="G18">
        <v>5</v>
      </c>
      <c r="H18">
        <v>6</v>
      </c>
      <c r="I18">
        <v>7</v>
      </c>
      <c r="J18">
        <v>8</v>
      </c>
      <c r="K18">
        <v>9</v>
      </c>
      <c r="L18">
        <v>10</v>
      </c>
      <c r="M18">
        <v>11</v>
      </c>
      <c r="N18">
        <v>12</v>
      </c>
    </row>
    <row r="19" spans="1:14" x14ac:dyDescent="0.25">
      <c r="C19" s="1">
        <f>B18</f>
        <v>88000</v>
      </c>
      <c r="D19" s="1">
        <f t="shared" ref="D19:N19" si="9">(1+$B20)*C19</f>
        <v>88880</v>
      </c>
      <c r="E19" s="1">
        <f t="shared" si="9"/>
        <v>89768.8</v>
      </c>
      <c r="F19" s="1">
        <f t="shared" si="9"/>
        <v>90666.487999999998</v>
      </c>
      <c r="G19" s="1">
        <f t="shared" si="9"/>
        <v>91573.152879999994</v>
      </c>
      <c r="H19" s="1">
        <f t="shared" si="9"/>
        <v>92488.88440879999</v>
      </c>
      <c r="I19" s="1">
        <f t="shared" si="9"/>
        <v>93413.773252887986</v>
      </c>
      <c r="J19" s="1">
        <f t="shared" si="9"/>
        <v>94347.910985416864</v>
      </c>
      <c r="K19" s="1">
        <f t="shared" si="9"/>
        <v>95291.390095271039</v>
      </c>
      <c r="L19" s="1">
        <f t="shared" si="9"/>
        <v>96244.303996223753</v>
      </c>
      <c r="M19" s="1">
        <f t="shared" si="9"/>
        <v>97206.747036185989</v>
      </c>
      <c r="N19" s="1">
        <f t="shared" si="9"/>
        <v>98178.814506547846</v>
      </c>
    </row>
    <row r="20" spans="1:14" x14ac:dyDescent="0.25">
      <c r="A20" t="s">
        <v>34</v>
      </c>
      <c r="B20" s="70">
        <v>0.01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t="s">
        <v>38</v>
      </c>
      <c r="B21" s="69">
        <v>0.05</v>
      </c>
      <c r="C21" s="1">
        <f t="shared" ref="C21:N21" si="10">$B$16*$B21</f>
        <v>5000</v>
      </c>
      <c r="D21" s="1">
        <f t="shared" si="10"/>
        <v>5000</v>
      </c>
      <c r="E21" s="1">
        <f t="shared" si="10"/>
        <v>5000</v>
      </c>
      <c r="F21" s="1">
        <f t="shared" si="10"/>
        <v>5000</v>
      </c>
      <c r="G21" s="1">
        <f t="shared" si="10"/>
        <v>5000</v>
      </c>
      <c r="H21" s="1">
        <f t="shared" si="10"/>
        <v>5000</v>
      </c>
      <c r="I21" s="1">
        <f t="shared" si="10"/>
        <v>5000</v>
      </c>
      <c r="J21" s="1">
        <f t="shared" si="10"/>
        <v>5000</v>
      </c>
      <c r="K21" s="1">
        <f t="shared" si="10"/>
        <v>5000</v>
      </c>
      <c r="L21" s="1">
        <f t="shared" si="10"/>
        <v>5000</v>
      </c>
      <c r="M21" s="1">
        <f t="shared" si="10"/>
        <v>5000</v>
      </c>
      <c r="N21" s="1">
        <f t="shared" si="10"/>
        <v>5000</v>
      </c>
    </row>
    <row r="22" spans="1:14" x14ac:dyDescent="0.25">
      <c r="A22" t="s">
        <v>73</v>
      </c>
      <c r="B22" s="70">
        <v>0.2</v>
      </c>
      <c r="C22" s="1">
        <f t="shared" ref="C22:N22" si="11">-(C21*$B22)</f>
        <v>-1000</v>
      </c>
      <c r="D22" s="1">
        <f t="shared" si="11"/>
        <v>-1000</v>
      </c>
      <c r="E22" s="1">
        <f t="shared" si="11"/>
        <v>-1000</v>
      </c>
      <c r="F22" s="1">
        <f t="shared" si="11"/>
        <v>-1000</v>
      </c>
      <c r="G22" s="1">
        <f t="shared" si="11"/>
        <v>-1000</v>
      </c>
      <c r="H22" s="1">
        <f t="shared" si="11"/>
        <v>-1000</v>
      </c>
      <c r="I22" s="1">
        <f t="shared" si="11"/>
        <v>-1000</v>
      </c>
      <c r="J22" s="1">
        <f t="shared" si="11"/>
        <v>-1000</v>
      </c>
      <c r="K22" s="1">
        <f t="shared" si="11"/>
        <v>-1000</v>
      </c>
      <c r="L22" s="1">
        <f t="shared" si="11"/>
        <v>-1000</v>
      </c>
      <c r="M22" s="1">
        <f t="shared" si="11"/>
        <v>-1000</v>
      </c>
      <c r="N22" s="1">
        <f t="shared" si="11"/>
        <v>-1000</v>
      </c>
    </row>
    <row r="23" spans="1:14" x14ac:dyDescent="0.25">
      <c r="A23" t="s">
        <v>72</v>
      </c>
      <c r="B23" s="69">
        <v>0</v>
      </c>
      <c r="C23" s="1">
        <f t="shared" ref="C23:N23" si="12">-C19*$B23</f>
        <v>0</v>
      </c>
      <c r="D23" s="1">
        <f t="shared" si="12"/>
        <v>0</v>
      </c>
      <c r="E23" s="1">
        <f t="shared" si="12"/>
        <v>0</v>
      </c>
      <c r="F23" s="1">
        <f t="shared" si="12"/>
        <v>0</v>
      </c>
      <c r="G23" s="1">
        <f t="shared" si="12"/>
        <v>0</v>
      </c>
      <c r="H23" s="1">
        <f t="shared" si="12"/>
        <v>0</v>
      </c>
      <c r="I23" s="1">
        <f t="shared" si="12"/>
        <v>0</v>
      </c>
      <c r="J23" s="1">
        <f t="shared" si="12"/>
        <v>0</v>
      </c>
      <c r="K23" s="1">
        <f t="shared" si="12"/>
        <v>0</v>
      </c>
      <c r="L23" s="1">
        <f t="shared" si="12"/>
        <v>0</v>
      </c>
      <c r="M23" s="1">
        <f t="shared" si="12"/>
        <v>0</v>
      </c>
      <c r="N23" s="1">
        <f t="shared" si="12"/>
        <v>0</v>
      </c>
    </row>
    <row r="24" spans="1:14" x14ac:dyDescent="0.25">
      <c r="B24" s="42" t="s">
        <v>71</v>
      </c>
      <c r="C24" s="1">
        <f t="shared" ref="C24:N24" si="13">C21+C22+C23</f>
        <v>4000</v>
      </c>
      <c r="D24" s="1">
        <f t="shared" si="13"/>
        <v>4000</v>
      </c>
      <c r="E24" s="1">
        <f t="shared" si="13"/>
        <v>4000</v>
      </c>
      <c r="F24" s="1">
        <f t="shared" si="13"/>
        <v>4000</v>
      </c>
      <c r="G24" s="1">
        <f t="shared" si="13"/>
        <v>4000</v>
      </c>
      <c r="H24" s="1">
        <f t="shared" si="13"/>
        <v>4000</v>
      </c>
      <c r="I24" s="1">
        <f t="shared" si="13"/>
        <v>4000</v>
      </c>
      <c r="J24" s="1">
        <f t="shared" si="13"/>
        <v>4000</v>
      </c>
      <c r="K24" s="1">
        <f t="shared" si="13"/>
        <v>4000</v>
      </c>
      <c r="L24" s="1">
        <f t="shared" si="13"/>
        <v>4000</v>
      </c>
      <c r="M24" s="1">
        <f t="shared" si="13"/>
        <v>4000</v>
      </c>
      <c r="N24" s="1">
        <f t="shared" si="13"/>
        <v>4000</v>
      </c>
    </row>
    <row r="25" spans="1:14" x14ac:dyDescent="0.25">
      <c r="B25" t="s">
        <v>70</v>
      </c>
      <c r="C25" s="1">
        <f>C24</f>
        <v>4000</v>
      </c>
      <c r="D25" s="1">
        <f t="shared" ref="D25:N25" si="14">D24+C25</f>
        <v>8000</v>
      </c>
      <c r="E25" s="1">
        <f t="shared" si="14"/>
        <v>12000</v>
      </c>
      <c r="F25" s="1">
        <f t="shared" si="14"/>
        <v>16000</v>
      </c>
      <c r="G25" s="1">
        <f t="shared" si="14"/>
        <v>20000</v>
      </c>
      <c r="H25" s="1">
        <f t="shared" si="14"/>
        <v>24000</v>
      </c>
      <c r="I25" s="1">
        <f t="shared" si="14"/>
        <v>28000</v>
      </c>
      <c r="J25" s="1">
        <f t="shared" si="14"/>
        <v>32000</v>
      </c>
      <c r="K25" s="1">
        <f t="shared" si="14"/>
        <v>36000</v>
      </c>
      <c r="L25" s="1">
        <f t="shared" si="14"/>
        <v>40000</v>
      </c>
      <c r="M25" s="1">
        <f t="shared" si="14"/>
        <v>44000</v>
      </c>
      <c r="N25" s="1">
        <f t="shared" si="14"/>
        <v>48000</v>
      </c>
    </row>
    <row r="26" spans="1:14" x14ac:dyDescent="0.25">
      <c r="B26" s="6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C27" s="1">
        <f t="shared" ref="C27:N27" si="15">C25+C19</f>
        <v>92000</v>
      </c>
      <c r="D27" s="1">
        <f t="shared" si="15"/>
        <v>96880</v>
      </c>
      <c r="E27" s="1">
        <f t="shared" si="15"/>
        <v>101768.8</v>
      </c>
      <c r="F27" s="1">
        <f t="shared" si="15"/>
        <v>106666.488</v>
      </c>
      <c r="G27" s="1">
        <f t="shared" si="15"/>
        <v>111573.15287999999</v>
      </c>
      <c r="H27" s="1">
        <f t="shared" si="15"/>
        <v>116488.88440879999</v>
      </c>
      <c r="I27" s="1">
        <f t="shared" si="15"/>
        <v>121413.77325288799</v>
      </c>
      <c r="J27" s="1">
        <f t="shared" si="15"/>
        <v>126347.91098541686</v>
      </c>
      <c r="K27" s="1">
        <f t="shared" si="15"/>
        <v>131291.39009527105</v>
      </c>
      <c r="L27" s="1">
        <f t="shared" si="15"/>
        <v>136244.30399622375</v>
      </c>
      <c r="M27" s="1">
        <f t="shared" si="15"/>
        <v>141206.74703618599</v>
      </c>
      <c r="N27" s="1">
        <f t="shared" si="15"/>
        <v>146178.81450654785</v>
      </c>
    </row>
    <row r="28" spans="1:14" x14ac:dyDescent="0.25">
      <c r="B28" t="s">
        <v>69</v>
      </c>
      <c r="C28" s="46">
        <v>0.3</v>
      </c>
      <c r="D28" s="46">
        <v>0.3</v>
      </c>
      <c r="E28" s="46">
        <v>0.3</v>
      </c>
      <c r="F28" s="46">
        <v>0.3</v>
      </c>
      <c r="G28" s="46">
        <v>0.3</v>
      </c>
      <c r="H28" s="46">
        <v>0.3</v>
      </c>
      <c r="I28" s="46">
        <v>0.3</v>
      </c>
      <c r="J28" s="46">
        <v>0.3</v>
      </c>
      <c r="K28" s="46">
        <v>0.3</v>
      </c>
      <c r="L28" s="46">
        <v>0.3</v>
      </c>
      <c r="M28" s="46">
        <v>0.3</v>
      </c>
      <c r="N28" s="46">
        <v>0.3</v>
      </c>
    </row>
    <row r="29" spans="1:14" x14ac:dyDescent="0.25">
      <c r="C29" s="1">
        <f t="shared" ref="C29:N29" si="16">(C27-$B$3)*C28</f>
        <v>-2340</v>
      </c>
      <c r="D29" s="1">
        <f t="shared" si="16"/>
        <v>-876</v>
      </c>
      <c r="E29" s="1">
        <f t="shared" si="16"/>
        <v>590.6400000000009</v>
      </c>
      <c r="F29" s="1">
        <f t="shared" si="16"/>
        <v>2059.9463999999994</v>
      </c>
      <c r="G29" s="1">
        <f t="shared" si="16"/>
        <v>3531.945863999998</v>
      </c>
      <c r="H29" s="1">
        <f t="shared" si="16"/>
        <v>5006.6653226399967</v>
      </c>
      <c r="I29" s="1">
        <f t="shared" si="16"/>
        <v>6484.1319758663958</v>
      </c>
      <c r="J29" s="1">
        <f t="shared" si="16"/>
        <v>7964.3732956250587</v>
      </c>
      <c r="K29" s="1">
        <f t="shared" si="16"/>
        <v>9447.4170285813161</v>
      </c>
      <c r="L29" s="1">
        <f t="shared" si="16"/>
        <v>10933.291198867126</v>
      </c>
      <c r="M29" s="1">
        <f t="shared" si="16"/>
        <v>12422.024110855797</v>
      </c>
      <c r="N29" s="1">
        <f t="shared" si="16"/>
        <v>13913.644351964353</v>
      </c>
    </row>
    <row r="30" spans="1:14" x14ac:dyDescent="0.25">
      <c r="B30" s="67" t="s">
        <v>68</v>
      </c>
      <c r="C30" s="66">
        <f t="shared" ref="C30:N30" si="17">C27-C29</f>
        <v>94340</v>
      </c>
      <c r="D30" s="66">
        <f t="shared" si="17"/>
        <v>97756</v>
      </c>
      <c r="E30" s="66">
        <f t="shared" si="17"/>
        <v>101178.16</v>
      </c>
      <c r="F30" s="66">
        <f t="shared" si="17"/>
        <v>104606.5416</v>
      </c>
      <c r="G30" s="66">
        <f t="shared" si="17"/>
        <v>108041.207016</v>
      </c>
      <c r="H30" s="66">
        <f t="shared" si="17"/>
        <v>111482.21908616</v>
      </c>
      <c r="I30" s="66">
        <f t="shared" si="17"/>
        <v>114929.64127702158</v>
      </c>
      <c r="J30" s="66">
        <f t="shared" si="17"/>
        <v>118383.5376897918</v>
      </c>
      <c r="K30" s="66">
        <f t="shared" si="17"/>
        <v>121843.97306668974</v>
      </c>
      <c r="L30" s="66">
        <f t="shared" si="17"/>
        <v>125311.01279735663</v>
      </c>
      <c r="M30" s="66">
        <f t="shared" si="17"/>
        <v>128784.72292533019</v>
      </c>
      <c r="N30" s="66">
        <f t="shared" si="17"/>
        <v>132265.17015458349</v>
      </c>
    </row>
  </sheetData>
  <pageMargins left="0.7" right="0.7" top="0.75" bottom="0.75" header="0.3" footer="0.3"/>
  <pageSetup paperSize="9" orientation="portrait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2F17-9A7B-40B8-A26D-ED547E3F6AA0}">
  <dimension ref="A1:AE19"/>
  <sheetViews>
    <sheetView topLeftCell="N1" workbookViewId="0">
      <selection activeCell="A7" sqref="A7"/>
    </sheetView>
  </sheetViews>
  <sheetFormatPr baseColWidth="10" defaultColWidth="8.85546875" defaultRowHeight="15" x14ac:dyDescent="0.25"/>
  <cols>
    <col min="1" max="1" width="39.140625" bestFit="1" customWidth="1"/>
    <col min="2" max="2" width="9.42578125" style="1" bestFit="1" customWidth="1"/>
    <col min="3" max="3" width="9.42578125" bestFit="1" customWidth="1"/>
    <col min="4" max="4" width="9.5703125" bestFit="1" customWidth="1"/>
    <col min="5" max="15" width="9.42578125" bestFit="1" customWidth="1"/>
    <col min="16" max="16" width="10.28515625" customWidth="1"/>
    <col min="17" max="31" width="9.42578125" bestFit="1" customWidth="1"/>
  </cols>
  <sheetData>
    <row r="1" spans="1:31" x14ac:dyDescent="0.25">
      <c r="A1" s="72" t="str">
        <f>_xlfn.CONCAT("Livret ",B2*100,"%")</f>
        <v>Livret 1%</v>
      </c>
      <c r="B1" s="44">
        <v>1</v>
      </c>
      <c r="C1" s="44">
        <f>B1+1</f>
        <v>2</v>
      </c>
      <c r="D1" s="44">
        <f t="shared" ref="D1:Z1" si="0">C1+1</f>
        <v>3</v>
      </c>
      <c r="E1" s="44">
        <f t="shared" si="0"/>
        <v>4</v>
      </c>
      <c r="F1" s="44">
        <f t="shared" si="0"/>
        <v>5</v>
      </c>
      <c r="G1" s="44">
        <f t="shared" si="0"/>
        <v>6</v>
      </c>
      <c r="H1" s="44">
        <f t="shared" si="0"/>
        <v>7</v>
      </c>
      <c r="I1" s="44">
        <f t="shared" si="0"/>
        <v>8</v>
      </c>
      <c r="J1" s="44">
        <f t="shared" si="0"/>
        <v>9</v>
      </c>
      <c r="K1" s="44">
        <f t="shared" si="0"/>
        <v>10</v>
      </c>
      <c r="L1" s="44">
        <f t="shared" si="0"/>
        <v>11</v>
      </c>
      <c r="M1" s="44">
        <f t="shared" si="0"/>
        <v>12</v>
      </c>
      <c r="N1" s="44">
        <f t="shared" si="0"/>
        <v>13</v>
      </c>
      <c r="O1" s="44">
        <f t="shared" si="0"/>
        <v>14</v>
      </c>
      <c r="P1" s="44">
        <f t="shared" si="0"/>
        <v>15</v>
      </c>
      <c r="Q1" s="44">
        <f t="shared" si="0"/>
        <v>16</v>
      </c>
      <c r="R1" s="44">
        <f t="shared" si="0"/>
        <v>17</v>
      </c>
      <c r="S1" s="44">
        <f t="shared" si="0"/>
        <v>18</v>
      </c>
      <c r="T1" s="44">
        <f t="shared" si="0"/>
        <v>19</v>
      </c>
      <c r="U1" s="44">
        <f t="shared" si="0"/>
        <v>20</v>
      </c>
      <c r="V1" s="44">
        <f t="shared" si="0"/>
        <v>21</v>
      </c>
      <c r="W1" s="44">
        <f t="shared" si="0"/>
        <v>22</v>
      </c>
      <c r="X1" s="44">
        <f t="shared" si="0"/>
        <v>23</v>
      </c>
      <c r="Y1" s="44">
        <f t="shared" si="0"/>
        <v>24</v>
      </c>
      <c r="Z1" s="44">
        <f t="shared" si="0"/>
        <v>25</v>
      </c>
      <c r="AA1" s="44">
        <f t="shared" ref="AA1" si="1">Z1+1</f>
        <v>26</v>
      </c>
      <c r="AB1" s="44">
        <f t="shared" ref="AB1" si="2">AA1+1</f>
        <v>27</v>
      </c>
      <c r="AC1" s="44">
        <f t="shared" ref="AC1" si="3">AB1+1</f>
        <v>28</v>
      </c>
      <c r="AD1" s="44">
        <f t="shared" ref="AD1" si="4">AC1+1</f>
        <v>29</v>
      </c>
      <c r="AE1" s="44">
        <f t="shared" ref="AE1" si="5">AD1+1</f>
        <v>30</v>
      </c>
    </row>
    <row r="2" spans="1:31" x14ac:dyDescent="0.25">
      <c r="A2" t="s">
        <v>59</v>
      </c>
      <c r="B2" s="47">
        <v>0.01</v>
      </c>
      <c r="C2" s="47">
        <f>B2</f>
        <v>0.01</v>
      </c>
      <c r="D2" s="47">
        <f t="shared" ref="D2:Z2" si="6">C2</f>
        <v>0.01</v>
      </c>
      <c r="E2" s="47">
        <f t="shared" si="6"/>
        <v>0.01</v>
      </c>
      <c r="F2" s="47">
        <f t="shared" si="6"/>
        <v>0.01</v>
      </c>
      <c r="G2" s="47">
        <f t="shared" si="6"/>
        <v>0.01</v>
      </c>
      <c r="H2" s="47">
        <f t="shared" si="6"/>
        <v>0.01</v>
      </c>
      <c r="I2" s="47">
        <f t="shared" si="6"/>
        <v>0.01</v>
      </c>
      <c r="J2" s="47">
        <f t="shared" si="6"/>
        <v>0.01</v>
      </c>
      <c r="K2" s="47">
        <f t="shared" si="6"/>
        <v>0.01</v>
      </c>
      <c r="L2" s="47">
        <f t="shared" si="6"/>
        <v>0.01</v>
      </c>
      <c r="M2" s="47">
        <f t="shared" si="6"/>
        <v>0.01</v>
      </c>
      <c r="N2" s="47">
        <f t="shared" si="6"/>
        <v>0.01</v>
      </c>
      <c r="O2" s="47">
        <f t="shared" si="6"/>
        <v>0.01</v>
      </c>
      <c r="P2" s="65">
        <f t="shared" si="6"/>
        <v>0.01</v>
      </c>
      <c r="Q2" s="47">
        <f t="shared" si="6"/>
        <v>0.01</v>
      </c>
      <c r="R2" s="47">
        <f t="shared" si="6"/>
        <v>0.01</v>
      </c>
      <c r="S2" s="47">
        <f t="shared" si="6"/>
        <v>0.01</v>
      </c>
      <c r="T2" s="47">
        <f t="shared" si="6"/>
        <v>0.01</v>
      </c>
      <c r="U2" s="65">
        <f t="shared" si="6"/>
        <v>0.01</v>
      </c>
      <c r="V2" s="47">
        <f t="shared" si="6"/>
        <v>0.01</v>
      </c>
      <c r="W2" s="47">
        <f t="shared" si="6"/>
        <v>0.01</v>
      </c>
      <c r="X2" s="47">
        <f t="shared" si="6"/>
        <v>0.01</v>
      </c>
      <c r="Y2" s="47">
        <f t="shared" si="6"/>
        <v>0.01</v>
      </c>
      <c r="Z2" s="47">
        <f t="shared" si="6"/>
        <v>0.01</v>
      </c>
      <c r="AA2" s="47">
        <f t="shared" ref="AA2" si="7">Z2</f>
        <v>0.01</v>
      </c>
      <c r="AB2" s="47">
        <f t="shared" ref="AB2" si="8">AA2</f>
        <v>0.01</v>
      </c>
      <c r="AC2" s="47">
        <f t="shared" ref="AC2" si="9">AB2</f>
        <v>0.01</v>
      </c>
      <c r="AD2" s="47">
        <f t="shared" ref="AD2" si="10">AC2</f>
        <v>0.01</v>
      </c>
      <c r="AE2" s="47">
        <f t="shared" ref="AE2" si="11">AD2</f>
        <v>0.01</v>
      </c>
    </row>
    <row r="3" spans="1:31" x14ac:dyDescent="0.25">
      <c r="A3" t="s">
        <v>60</v>
      </c>
      <c r="B3" s="1">
        <f>Investissement!Apport</f>
        <v>6000</v>
      </c>
      <c r="C3" s="1">
        <f t="shared" ref="C3:AE3" si="12">B6</f>
        <v>8236.9385228294359</v>
      </c>
      <c r="D3" s="1">
        <f t="shared" si="12"/>
        <v>10484.709481615337</v>
      </c>
      <c r="E3" s="1">
        <f t="shared" si="12"/>
        <v>12738.359018407084</v>
      </c>
      <c r="F3" s="1">
        <f t="shared" si="12"/>
        <v>14997.937509038356</v>
      </c>
      <c r="G3" s="1">
        <f t="shared" si="12"/>
        <v>17263.499744209137</v>
      </c>
      <c r="H3" s="1">
        <f t="shared" si="12"/>
        <v>19535.10511641009</v>
      </c>
      <c r="I3" s="1">
        <f t="shared" si="12"/>
        <v>21812.817812857542</v>
      </c>
      <c r="J3" s="1">
        <f t="shared" si="12"/>
        <v>24096.707014611802</v>
      </c>
      <c r="K3" s="1">
        <f t="shared" si="12"/>
        <v>26386.847102056348</v>
      </c>
      <c r="L3" s="1">
        <f t="shared" si="12"/>
        <v>28683.317866920239</v>
      </c>
      <c r="M3" s="1">
        <f t="shared" si="12"/>
        <v>30986.204731031146</v>
      </c>
      <c r="N3" s="1">
        <f t="shared" si="12"/>
        <v>33295.598971991392</v>
      </c>
      <c r="O3" s="1">
        <f t="shared" si="12"/>
        <v>35611.597955974808</v>
      </c>
      <c r="P3" s="1">
        <f t="shared" si="12"/>
        <v>37934.30537784745</v>
      </c>
      <c r="Q3" s="1">
        <f t="shared" si="12"/>
        <v>40263.831508820935</v>
      </c>
      <c r="R3" s="1">
        <f t="shared" si="12"/>
        <v>40666.469823909145</v>
      </c>
      <c r="S3" s="1">
        <f t="shared" si="12"/>
        <v>41073.134522148233</v>
      </c>
      <c r="T3" s="1">
        <f t="shared" si="12"/>
        <v>41483.865867369714</v>
      </c>
      <c r="U3" s="1">
        <f t="shared" si="12"/>
        <v>41898.70452604341</v>
      </c>
      <c r="V3" s="1">
        <f t="shared" si="12"/>
        <v>42317.691571303847</v>
      </c>
      <c r="W3" s="1">
        <f t="shared" si="12"/>
        <v>42740.868487016887</v>
      </c>
      <c r="X3" s="1">
        <f t="shared" si="12"/>
        <v>43168.277171887057</v>
      </c>
      <c r="Y3" s="1">
        <f t="shared" si="12"/>
        <v>43599.959943605929</v>
      </c>
      <c r="Z3" s="1">
        <f t="shared" si="12"/>
        <v>44035.959543041987</v>
      </c>
      <c r="AA3" s="1">
        <f t="shared" si="12"/>
        <v>44476.319138472405</v>
      </c>
      <c r="AB3" s="1">
        <f t="shared" si="12"/>
        <v>44921.082329857127</v>
      </c>
      <c r="AC3" s="1">
        <f t="shared" si="12"/>
        <v>45370.293153155697</v>
      </c>
      <c r="AD3" s="1">
        <f t="shared" si="12"/>
        <v>45823.996084687256</v>
      </c>
      <c r="AE3" s="1">
        <f t="shared" si="12"/>
        <v>46282.236045534126</v>
      </c>
    </row>
    <row r="4" spans="1:31" x14ac:dyDescent="0.25">
      <c r="A4" t="s">
        <v>84</v>
      </c>
      <c r="B4" s="1">
        <f>IF('Crédit réinvest'!B26&lt;0,-'Crédit réinvest'!B26,0)</f>
        <v>2155.3846760687479</v>
      </c>
      <c r="C4" s="1">
        <f>IF('Crédit réinvest'!C26&lt;0,-'Crédit réinvest'!C26,0)</f>
        <v>2143.9619540174313</v>
      </c>
      <c r="D4" s="1">
        <f>IF('Crédit réinvest'!D26&lt;0,-'Crédit réinvest'!D26,0)</f>
        <v>2127.5271702728642</v>
      </c>
      <c r="E4" s="1">
        <f>IF('Crédit réinvest'!E26&lt;0,-'Crédit réinvest'!E26,0)</f>
        <v>2111.0840598487157</v>
      </c>
      <c r="F4" s="1">
        <f>IF('Crédit réinvest'!F26&lt;0,-'Crédit réinvest'!F26,0)</f>
        <v>2094.6364951291043</v>
      </c>
      <c r="G4" s="1">
        <f>IF('Crédit réinvest'!G26&lt;0,-'Crédit réinvest'!G26,0)</f>
        <v>2078.1884898602589</v>
      </c>
      <c r="H4" s="1">
        <f>IF('Crédit réinvest'!H26&lt;0,-'Crédit réinvest'!H26,0)</f>
        <v>2061.7442032508443</v>
      </c>
      <c r="I4" s="1">
        <f>IF('Crédit réinvest'!I26&lt;0,-'Crédit réinvest'!I26,0)</f>
        <v>2045.3079441838468</v>
      </c>
      <c r="J4" s="1">
        <f>IF('Crédit réinvest'!J26&lt;0,-'Crédit réinvest'!J26,0)</f>
        <v>2028.8841755429962</v>
      </c>
      <c r="K4" s="1">
        <f>IF('Crédit réinvest'!K26&lt;0,-'Crédit réinvest'!K26,0)</f>
        <v>2012.4775186567622</v>
      </c>
      <c r="L4" s="1">
        <f>IF('Crédit réinvest'!L26&lt;0,-'Crédit réinvest'!L26,0)</f>
        <v>1996.0927578630744</v>
      </c>
      <c r="M4" s="1">
        <f>IF('Crédit réinvest'!M26&lt;0,-'Crédit réinvest'!M26,0)</f>
        <v>1979.7348451979565</v>
      </c>
      <c r="N4" s="1">
        <f>IF('Crédit réinvest'!N26&lt;0,-'Crédit réinvest'!N26,0)</f>
        <v>1963.4089052113832</v>
      </c>
      <c r="O4" s="1">
        <f>IF('Crédit réinvest'!O26&lt;0,-'Crédit réinvest'!O26,0)</f>
        <v>1947.1202399137569</v>
      </c>
      <c r="P4" s="1">
        <f>IF('Crédit réinvest'!P26&lt;0,-'Crédit réinvest'!P26,0)</f>
        <v>1930.8743338564432</v>
      </c>
      <c r="Q4" s="1">
        <f>IF('Crédit réinvest'!Q26&lt;0,-'Crédit réinvest'!Q26,0)</f>
        <v>0</v>
      </c>
      <c r="R4" s="1">
        <f>IF('Crédit réinvest'!R26&lt;0,-'Crédit réinvest'!R26,0)</f>
        <v>0</v>
      </c>
      <c r="S4" s="1">
        <f>IF('Crédit réinvest'!S26&lt;0,-'Crédit réinvest'!S26,0)</f>
        <v>0</v>
      </c>
      <c r="T4" s="1">
        <f>IF('Crédit réinvest'!T26&lt;0,-'Crédit réinvest'!T26,0)</f>
        <v>0</v>
      </c>
      <c r="U4" s="1">
        <f>IF('Crédit réinvest'!U26&lt;0,-'Crédit réinvest'!U26,0)</f>
        <v>0</v>
      </c>
      <c r="V4" s="1">
        <f>IF('Crédit réinvest'!V26&lt;0,-'Crédit réinvest'!V26,0)</f>
        <v>0</v>
      </c>
      <c r="W4" s="1">
        <f>IF('Crédit réinvest'!W26&lt;0,-'Crédit réinvest'!W26,0)</f>
        <v>0</v>
      </c>
      <c r="X4" s="1">
        <f>IF('Crédit réinvest'!X26&lt;0,-'Crédit réinvest'!X26,0)</f>
        <v>0</v>
      </c>
      <c r="Y4" s="1">
        <f>IF('Crédit réinvest'!Y26&lt;0,-'Crédit réinvest'!Y26,0)</f>
        <v>0</v>
      </c>
      <c r="Z4" s="1">
        <f>IF('Crédit réinvest'!Z26&lt;0,-'Crédit réinvest'!Z26,0)</f>
        <v>0</v>
      </c>
      <c r="AA4" s="1">
        <f>IF('Crédit réinvest'!AA26&lt;0,-'Crédit réinvest'!AA26,0)</f>
        <v>0</v>
      </c>
      <c r="AB4" s="1">
        <f>IF('Crédit réinvest'!AB26&lt;0,-'Crédit réinvest'!AB26,0)</f>
        <v>0</v>
      </c>
      <c r="AC4" s="1">
        <f>IF('Crédit réinvest'!AC26&lt;0,-'Crédit réinvest'!AC26,0)</f>
        <v>0</v>
      </c>
      <c r="AD4" s="1">
        <f>IF('Crédit réinvest'!AD26&lt;0,-'Crédit réinvest'!AD26,0)</f>
        <v>0</v>
      </c>
      <c r="AE4" s="1">
        <f>IF('Crédit réinvest'!AE26&lt;0,-'Crédit réinvest'!AE26,0)</f>
        <v>0</v>
      </c>
    </row>
    <row r="5" spans="1:31" x14ac:dyDescent="0.25">
      <c r="A5" t="s">
        <v>58</v>
      </c>
      <c r="B5" s="1">
        <f>(B3+B4)*B2</f>
        <v>81.553846760687492</v>
      </c>
      <c r="C5" s="1">
        <f t="shared" ref="C5:AE5" si="13">(C3+C4)*C2</f>
        <v>103.80900476846868</v>
      </c>
      <c r="D5" s="1">
        <f t="shared" si="13"/>
        <v>126.12236651888202</v>
      </c>
      <c r="E5" s="1">
        <f t="shared" si="13"/>
        <v>148.494430782558</v>
      </c>
      <c r="F5" s="1">
        <f t="shared" si="13"/>
        <v>170.92574004167463</v>
      </c>
      <c r="G5" s="1">
        <f t="shared" si="13"/>
        <v>193.41688234069397</v>
      </c>
      <c r="H5" s="1">
        <f t="shared" si="13"/>
        <v>215.96849319660936</v>
      </c>
      <c r="I5" s="1">
        <f t="shared" si="13"/>
        <v>238.58125757041387</v>
      </c>
      <c r="J5" s="1">
        <f t="shared" si="13"/>
        <v>261.25591190154802</v>
      </c>
      <c r="K5" s="1">
        <f t="shared" si="13"/>
        <v>283.99324620713111</v>
      </c>
      <c r="L5" s="1">
        <f t="shared" si="13"/>
        <v>306.7941062478331</v>
      </c>
      <c r="M5" s="1">
        <f t="shared" si="13"/>
        <v>329.65939576229101</v>
      </c>
      <c r="N5" s="1">
        <f t="shared" si="13"/>
        <v>352.59007877202777</v>
      </c>
      <c r="O5" s="1">
        <f t="shared" si="13"/>
        <v>375.58718195888565</v>
      </c>
      <c r="P5" s="1">
        <f t="shared" si="13"/>
        <v>398.65179711703894</v>
      </c>
      <c r="Q5" s="1">
        <f t="shared" si="13"/>
        <v>402.63831508820937</v>
      </c>
      <c r="R5" s="1">
        <f t="shared" si="13"/>
        <v>406.66469823909148</v>
      </c>
      <c r="S5" s="1">
        <f t="shared" si="13"/>
        <v>410.73134522148234</v>
      </c>
      <c r="T5" s="1">
        <f t="shared" si="13"/>
        <v>414.83865867369713</v>
      </c>
      <c r="U5" s="1">
        <f t="shared" si="13"/>
        <v>418.98704526043412</v>
      </c>
      <c r="V5" s="1">
        <f t="shared" si="13"/>
        <v>423.17691571303845</v>
      </c>
      <c r="W5" s="1">
        <f t="shared" si="13"/>
        <v>427.40868487016888</v>
      </c>
      <c r="X5" s="1">
        <f t="shared" si="13"/>
        <v>431.68277171887058</v>
      </c>
      <c r="Y5" s="1">
        <f t="shared" si="13"/>
        <v>435.99959943605927</v>
      </c>
      <c r="Z5" s="1">
        <f t="shared" si="13"/>
        <v>440.35959543041986</v>
      </c>
      <c r="AA5" s="1">
        <f t="shared" si="13"/>
        <v>444.76319138472405</v>
      </c>
      <c r="AB5" s="1">
        <f t="shared" si="13"/>
        <v>449.21082329857126</v>
      </c>
      <c r="AC5" s="1">
        <f t="shared" si="13"/>
        <v>453.702931531557</v>
      </c>
      <c r="AD5" s="1">
        <f t="shared" si="13"/>
        <v>458.23996084687258</v>
      </c>
      <c r="AE5" s="1">
        <f t="shared" si="13"/>
        <v>462.82236045534125</v>
      </c>
    </row>
    <row r="6" spans="1:31" x14ac:dyDescent="0.25">
      <c r="A6" t="s">
        <v>61</v>
      </c>
      <c r="B6" s="1">
        <f>B3+B4+B5</f>
        <v>8236.9385228294359</v>
      </c>
      <c r="C6" s="1">
        <f t="shared" ref="C6:AE6" si="14">C3+C4+C5</f>
        <v>10484.709481615337</v>
      </c>
      <c r="D6" s="1">
        <f t="shared" si="14"/>
        <v>12738.359018407084</v>
      </c>
      <c r="E6" s="1">
        <f t="shared" si="14"/>
        <v>14997.937509038356</v>
      </c>
      <c r="F6" s="1">
        <f t="shared" si="14"/>
        <v>17263.499744209137</v>
      </c>
      <c r="G6" s="1">
        <f t="shared" si="14"/>
        <v>19535.10511641009</v>
      </c>
      <c r="H6" s="1">
        <f t="shared" si="14"/>
        <v>21812.817812857542</v>
      </c>
      <c r="I6" s="1">
        <f t="shared" si="14"/>
        <v>24096.707014611802</v>
      </c>
      <c r="J6" s="1">
        <f t="shared" si="14"/>
        <v>26386.847102056348</v>
      </c>
      <c r="K6" s="1">
        <f t="shared" si="14"/>
        <v>28683.317866920239</v>
      </c>
      <c r="L6" s="1">
        <f t="shared" si="14"/>
        <v>30986.204731031146</v>
      </c>
      <c r="M6" s="1">
        <f t="shared" si="14"/>
        <v>33295.598971991392</v>
      </c>
      <c r="N6" s="1">
        <f t="shared" si="14"/>
        <v>35611.597955974808</v>
      </c>
      <c r="O6" s="1">
        <f t="shared" si="14"/>
        <v>37934.30537784745</v>
      </c>
      <c r="P6" s="1">
        <f t="shared" si="14"/>
        <v>40263.831508820935</v>
      </c>
      <c r="Q6" s="1">
        <f t="shared" si="14"/>
        <v>40666.469823909145</v>
      </c>
      <c r="R6" s="1">
        <f t="shared" si="14"/>
        <v>41073.134522148233</v>
      </c>
      <c r="S6" s="1">
        <f t="shared" si="14"/>
        <v>41483.865867369714</v>
      </c>
      <c r="T6" s="1">
        <f t="shared" si="14"/>
        <v>41898.70452604341</v>
      </c>
      <c r="U6" s="1">
        <f t="shared" si="14"/>
        <v>42317.691571303847</v>
      </c>
      <c r="V6" s="1">
        <f t="shared" si="14"/>
        <v>42740.868487016887</v>
      </c>
      <c r="W6" s="1">
        <f t="shared" si="14"/>
        <v>43168.277171887057</v>
      </c>
      <c r="X6" s="1">
        <f t="shared" si="14"/>
        <v>43599.959943605929</v>
      </c>
      <c r="Y6" s="1">
        <f t="shared" si="14"/>
        <v>44035.959543041987</v>
      </c>
      <c r="Z6" s="1">
        <f t="shared" si="14"/>
        <v>44476.319138472405</v>
      </c>
      <c r="AA6" s="1">
        <f t="shared" si="14"/>
        <v>44921.082329857127</v>
      </c>
      <c r="AB6" s="1">
        <f t="shared" si="14"/>
        <v>45370.293153155697</v>
      </c>
      <c r="AC6" s="1">
        <f t="shared" si="14"/>
        <v>45823.996084687256</v>
      </c>
      <c r="AD6" s="1">
        <f t="shared" si="14"/>
        <v>46282.236045534126</v>
      </c>
      <c r="AE6" s="1">
        <f t="shared" si="14"/>
        <v>46745.058405989468</v>
      </c>
    </row>
    <row r="7" spans="1:31" x14ac:dyDescent="0.25">
      <c r="A7" s="72" t="str">
        <f>_xlfn.CONCAT("Livret ",B8*100,"%")</f>
        <v>Livret 2%</v>
      </c>
      <c r="P7" s="2"/>
      <c r="U7" s="2"/>
    </row>
    <row r="8" spans="1:31" x14ac:dyDescent="0.25">
      <c r="A8" t="s">
        <v>59</v>
      </c>
      <c r="B8" s="47">
        <f>B2+0.01</f>
        <v>0.02</v>
      </c>
      <c r="C8" s="47">
        <f>B8</f>
        <v>0.02</v>
      </c>
      <c r="D8" s="47">
        <f t="shared" ref="D8:Z8" si="15">C8</f>
        <v>0.02</v>
      </c>
      <c r="E8" s="47">
        <f t="shared" si="15"/>
        <v>0.02</v>
      </c>
      <c r="F8" s="47">
        <f t="shared" si="15"/>
        <v>0.02</v>
      </c>
      <c r="G8" s="47">
        <f t="shared" si="15"/>
        <v>0.02</v>
      </c>
      <c r="H8" s="47">
        <f t="shared" si="15"/>
        <v>0.02</v>
      </c>
      <c r="I8" s="47">
        <f t="shared" si="15"/>
        <v>0.02</v>
      </c>
      <c r="J8" s="47">
        <f t="shared" si="15"/>
        <v>0.02</v>
      </c>
      <c r="K8" s="47">
        <f t="shared" si="15"/>
        <v>0.02</v>
      </c>
      <c r="L8" s="47">
        <f t="shared" si="15"/>
        <v>0.02</v>
      </c>
      <c r="M8" s="47">
        <f t="shared" si="15"/>
        <v>0.02</v>
      </c>
      <c r="N8" s="47">
        <f t="shared" si="15"/>
        <v>0.02</v>
      </c>
      <c r="O8" s="47">
        <f t="shared" si="15"/>
        <v>0.02</v>
      </c>
      <c r="P8" s="65">
        <f t="shared" si="15"/>
        <v>0.02</v>
      </c>
      <c r="Q8" s="47">
        <f t="shared" si="15"/>
        <v>0.02</v>
      </c>
      <c r="R8" s="47">
        <f t="shared" si="15"/>
        <v>0.02</v>
      </c>
      <c r="S8" s="47">
        <f t="shared" si="15"/>
        <v>0.02</v>
      </c>
      <c r="T8" s="47">
        <f t="shared" si="15"/>
        <v>0.02</v>
      </c>
      <c r="U8" s="65">
        <f t="shared" si="15"/>
        <v>0.02</v>
      </c>
      <c r="V8" s="47">
        <f t="shared" si="15"/>
        <v>0.02</v>
      </c>
      <c r="W8" s="47">
        <f t="shared" si="15"/>
        <v>0.02</v>
      </c>
      <c r="X8" s="47">
        <f t="shared" si="15"/>
        <v>0.02</v>
      </c>
      <c r="Y8" s="47">
        <f t="shared" si="15"/>
        <v>0.02</v>
      </c>
      <c r="Z8" s="47">
        <f t="shared" si="15"/>
        <v>0.02</v>
      </c>
      <c r="AA8" s="47">
        <f t="shared" ref="AA8" si="16">Z8</f>
        <v>0.02</v>
      </c>
      <c r="AB8" s="47">
        <f t="shared" ref="AB8" si="17">AA8</f>
        <v>0.02</v>
      </c>
      <c r="AC8" s="47">
        <f t="shared" ref="AC8" si="18">AB8</f>
        <v>0.02</v>
      </c>
      <c r="AD8" s="47">
        <f t="shared" ref="AD8" si="19">AC8</f>
        <v>0.02</v>
      </c>
      <c r="AE8" s="47">
        <f t="shared" ref="AE8" si="20">AD8</f>
        <v>0.02</v>
      </c>
    </row>
    <row r="9" spans="1:31" x14ac:dyDescent="0.25">
      <c r="A9" t="s">
        <v>60</v>
      </c>
      <c r="B9" s="1">
        <f>Investissement!Apport</f>
        <v>6000</v>
      </c>
      <c r="C9" s="1">
        <f t="shared" ref="C9:AE9" si="21">B12</f>
        <v>8318.4923695901234</v>
      </c>
      <c r="D9" s="1">
        <f t="shared" si="21"/>
        <v>10671.703410079706</v>
      </c>
      <c r="E9" s="1">
        <f t="shared" si="21"/>
        <v>13055.215191959622</v>
      </c>
      <c r="F9" s="1">
        <f t="shared" si="21"/>
        <v>15469.625236844504</v>
      </c>
      <c r="G9" s="1">
        <f t="shared" si="21"/>
        <v>17915.546966613081</v>
      </c>
      <c r="H9" s="1">
        <f t="shared" si="21"/>
        <v>20393.610165602808</v>
      </c>
      <c r="I9" s="1">
        <f t="shared" si="21"/>
        <v>22904.461456230725</v>
      </c>
      <c r="J9" s="1">
        <f t="shared" si="21"/>
        <v>25448.764788422861</v>
      </c>
      <c r="K9" s="1">
        <f t="shared" si="21"/>
        <v>28027.201943245174</v>
      </c>
      <c r="L9" s="1">
        <f t="shared" si="21"/>
        <v>30640.473051139972</v>
      </c>
      <c r="M9" s="1">
        <f t="shared" si="21"/>
        <v>33289.297125183111</v>
      </c>
      <c r="N9" s="1">
        <f t="shared" si="21"/>
        <v>35974.412609788691</v>
      </c>
      <c r="O9" s="1">
        <f t="shared" si="21"/>
        <v>38696.57794530008</v>
      </c>
      <c r="P9" s="1">
        <f t="shared" si="21"/>
        <v>41456.572148918109</v>
      </c>
      <c r="Q9" s="1">
        <f t="shared" si="21"/>
        <v>44255.195412430046</v>
      </c>
      <c r="R9" s="1">
        <f t="shared" si="21"/>
        <v>45140.299320678649</v>
      </c>
      <c r="S9" s="1">
        <f t="shared" si="21"/>
        <v>46043.105307092221</v>
      </c>
      <c r="T9" s="1">
        <f t="shared" si="21"/>
        <v>46963.967413234066</v>
      </c>
      <c r="U9" s="1">
        <f t="shared" si="21"/>
        <v>47903.246761498747</v>
      </c>
      <c r="V9" s="1">
        <f t="shared" si="21"/>
        <v>48861.311696728721</v>
      </c>
      <c r="W9" s="1">
        <f t="shared" si="21"/>
        <v>49838.537930663297</v>
      </c>
      <c r="X9" s="1">
        <f t="shared" si="21"/>
        <v>50835.308689276564</v>
      </c>
      <c r="Y9" s="1">
        <f t="shared" si="21"/>
        <v>51852.014863062097</v>
      </c>
      <c r="Z9" s="1">
        <f t="shared" si="21"/>
        <v>52889.05516032334</v>
      </c>
      <c r="AA9" s="1">
        <f t="shared" si="21"/>
        <v>53946.836263529804</v>
      </c>
      <c r="AB9" s="1">
        <f t="shared" si="21"/>
        <v>55025.772988800396</v>
      </c>
      <c r="AC9" s="1">
        <f t="shared" si="21"/>
        <v>56126.288448576401</v>
      </c>
      <c r="AD9" s="1">
        <f t="shared" si="21"/>
        <v>57248.81421754793</v>
      </c>
      <c r="AE9" s="1">
        <f t="shared" si="21"/>
        <v>58393.790501898889</v>
      </c>
    </row>
    <row r="10" spans="1:31" x14ac:dyDescent="0.25">
      <c r="A10" t="s">
        <v>84</v>
      </c>
      <c r="B10" s="1">
        <f>B4</f>
        <v>2155.3846760687479</v>
      </c>
      <c r="C10" s="1">
        <f t="shared" ref="C10:AE10" si="22">C4</f>
        <v>2143.9619540174313</v>
      </c>
      <c r="D10" s="1">
        <f t="shared" si="22"/>
        <v>2127.5271702728642</v>
      </c>
      <c r="E10" s="1">
        <f t="shared" si="22"/>
        <v>2111.0840598487157</v>
      </c>
      <c r="F10" s="1">
        <f t="shared" si="22"/>
        <v>2094.6364951291043</v>
      </c>
      <c r="G10" s="1">
        <f t="shared" si="22"/>
        <v>2078.1884898602589</v>
      </c>
      <c r="H10" s="1">
        <f t="shared" si="22"/>
        <v>2061.7442032508443</v>
      </c>
      <c r="I10" s="1">
        <f t="shared" si="22"/>
        <v>2045.3079441838468</v>
      </c>
      <c r="J10" s="1">
        <f t="shared" si="22"/>
        <v>2028.8841755429962</v>
      </c>
      <c r="K10" s="1">
        <f t="shared" si="22"/>
        <v>2012.4775186567622</v>
      </c>
      <c r="L10" s="1">
        <f t="shared" si="22"/>
        <v>1996.0927578630744</v>
      </c>
      <c r="M10" s="1">
        <f t="shared" si="22"/>
        <v>1979.7348451979565</v>
      </c>
      <c r="N10" s="1">
        <f t="shared" si="22"/>
        <v>1963.4089052113832</v>
      </c>
      <c r="O10" s="1">
        <f t="shared" si="22"/>
        <v>1947.1202399137569</v>
      </c>
      <c r="P10" s="1">
        <f t="shared" si="22"/>
        <v>1930.8743338564432</v>
      </c>
      <c r="Q10" s="1">
        <f t="shared" si="22"/>
        <v>0</v>
      </c>
      <c r="R10" s="1">
        <f t="shared" si="22"/>
        <v>0</v>
      </c>
      <c r="S10" s="1">
        <f t="shared" si="22"/>
        <v>0</v>
      </c>
      <c r="T10" s="1">
        <f t="shared" si="22"/>
        <v>0</v>
      </c>
      <c r="U10" s="1">
        <f t="shared" si="22"/>
        <v>0</v>
      </c>
      <c r="V10" s="1">
        <f t="shared" si="22"/>
        <v>0</v>
      </c>
      <c r="W10" s="1">
        <f t="shared" si="22"/>
        <v>0</v>
      </c>
      <c r="X10" s="1">
        <f t="shared" si="22"/>
        <v>0</v>
      </c>
      <c r="Y10" s="1">
        <f t="shared" si="22"/>
        <v>0</v>
      </c>
      <c r="Z10" s="1">
        <f t="shared" si="22"/>
        <v>0</v>
      </c>
      <c r="AA10" s="1">
        <f t="shared" si="22"/>
        <v>0</v>
      </c>
      <c r="AB10" s="1">
        <f t="shared" si="22"/>
        <v>0</v>
      </c>
      <c r="AC10" s="1">
        <f t="shared" si="22"/>
        <v>0</v>
      </c>
      <c r="AD10" s="1">
        <f t="shared" si="22"/>
        <v>0</v>
      </c>
      <c r="AE10" s="1">
        <f t="shared" si="22"/>
        <v>0</v>
      </c>
    </row>
    <row r="11" spans="1:31" x14ac:dyDescent="0.25">
      <c r="A11" t="s">
        <v>58</v>
      </c>
      <c r="B11" s="1">
        <f>(B9+B10)*B8</f>
        <v>163.10769352137498</v>
      </c>
      <c r="C11" s="1">
        <f t="shared" ref="C11" si="23">(C9+C10)*C8</f>
        <v>209.24908647215111</v>
      </c>
      <c r="D11" s="1">
        <f t="shared" ref="D11" si="24">(D9+D10)*D8</f>
        <v>255.98461160705142</v>
      </c>
      <c r="E11" s="1">
        <f t="shared" ref="E11" si="25">(E9+E10)*E8</f>
        <v>303.32598503616674</v>
      </c>
      <c r="F11" s="1">
        <f t="shared" ref="F11" si="26">(F9+F10)*F8</f>
        <v>351.28523463947221</v>
      </c>
      <c r="G11" s="1">
        <f t="shared" ref="G11" si="27">(G9+G10)*G8</f>
        <v>399.87470912946679</v>
      </c>
      <c r="H11" s="1">
        <f t="shared" ref="H11" si="28">(H9+H10)*H8</f>
        <v>449.10708737707307</v>
      </c>
      <c r="I11" s="1">
        <f t="shared" ref="I11" si="29">(I9+I10)*I8</f>
        <v>498.9953880082914</v>
      </c>
      <c r="J11" s="1">
        <f t="shared" ref="J11" si="30">(J9+J10)*J8</f>
        <v>549.55297927931713</v>
      </c>
      <c r="K11" s="1">
        <f t="shared" ref="K11" si="31">(K9+K10)*K8</f>
        <v>600.79358923803875</v>
      </c>
      <c r="L11" s="1">
        <f t="shared" ref="L11" si="32">(L9+L10)*L8</f>
        <v>652.73131618006096</v>
      </c>
      <c r="M11" s="1">
        <f t="shared" ref="M11" si="33">(M9+M10)*M8</f>
        <v>705.3806394076214</v>
      </c>
      <c r="N11" s="1">
        <f t="shared" ref="N11" si="34">(N9+N10)*N8</f>
        <v>758.75643030000151</v>
      </c>
      <c r="O11" s="1">
        <f t="shared" ref="O11" si="35">(O9+O10)*O8</f>
        <v>812.87396370427666</v>
      </c>
      <c r="P11" s="1">
        <f t="shared" ref="P11" si="36">(P9+P10)*P8</f>
        <v>867.74892965549111</v>
      </c>
      <c r="Q11" s="1">
        <f t="shared" ref="Q11" si="37">(Q9+Q10)*Q8</f>
        <v>885.10390824860099</v>
      </c>
      <c r="R11" s="1">
        <f t="shared" ref="R11" si="38">(R9+R10)*R8</f>
        <v>902.80598641357301</v>
      </c>
      <c r="S11" s="1">
        <f t="shared" ref="S11" si="39">(S9+S10)*S8</f>
        <v>920.86210614184438</v>
      </c>
      <c r="T11" s="1">
        <f t="shared" ref="T11" si="40">(T9+T10)*T8</f>
        <v>939.27934826468129</v>
      </c>
      <c r="U11" s="1">
        <f t="shared" ref="U11" si="41">(U9+U10)*U8</f>
        <v>958.06493522997494</v>
      </c>
      <c r="V11" s="1">
        <f t="shared" ref="V11" si="42">(V9+V10)*V8</f>
        <v>977.22623393457445</v>
      </c>
      <c r="W11" s="1">
        <f t="shared" ref="W11" si="43">(W9+W10)*W8</f>
        <v>996.77075861326591</v>
      </c>
      <c r="X11" s="1">
        <f t="shared" ref="X11" si="44">(X9+X10)*X8</f>
        <v>1016.7061737855313</v>
      </c>
      <c r="Y11" s="1">
        <f t="shared" ref="Y11" si="45">(Y9+Y10)*Y8</f>
        <v>1037.0402972612419</v>
      </c>
      <c r="Z11" s="1">
        <f t="shared" ref="Z11" si="46">(Z9+Z10)*Z8</f>
        <v>1057.7811032064669</v>
      </c>
      <c r="AA11" s="1">
        <f t="shared" ref="AA11" si="47">(AA9+AA10)*AA8</f>
        <v>1078.9367252705961</v>
      </c>
      <c r="AB11" s="1">
        <f t="shared" ref="AB11" si="48">(AB9+AB10)*AB8</f>
        <v>1100.5154597760079</v>
      </c>
      <c r="AC11" s="1">
        <f t="shared" ref="AC11" si="49">(AC9+AC10)*AC8</f>
        <v>1122.5257689715281</v>
      </c>
      <c r="AD11" s="1">
        <f t="shared" ref="AD11" si="50">(AD9+AD10)*AD8</f>
        <v>1144.9762843509586</v>
      </c>
      <c r="AE11" s="1">
        <f t="shared" ref="AE11" si="51">(AE9+AE10)*AE8</f>
        <v>1167.8758100379778</v>
      </c>
    </row>
    <row r="12" spans="1:31" x14ac:dyDescent="0.25">
      <c r="A12" t="s">
        <v>61</v>
      </c>
      <c r="B12" s="1">
        <f>B9+B10+B11</f>
        <v>8318.4923695901234</v>
      </c>
      <c r="C12" s="1">
        <f t="shared" ref="C12" si="52">C9+C10+C11</f>
        <v>10671.703410079706</v>
      </c>
      <c r="D12" s="1">
        <f t="shared" ref="D12" si="53">D9+D10+D11</f>
        <v>13055.215191959622</v>
      </c>
      <c r="E12" s="1">
        <f t="shared" ref="E12" si="54">E9+E10+E11</f>
        <v>15469.625236844504</v>
      </c>
      <c r="F12" s="1">
        <f t="shared" ref="F12" si="55">F9+F10+F11</f>
        <v>17915.546966613081</v>
      </c>
      <c r="G12" s="1">
        <f t="shared" ref="G12" si="56">G9+G10+G11</f>
        <v>20393.610165602808</v>
      </c>
      <c r="H12" s="1">
        <f t="shared" ref="H12" si="57">H9+H10+H11</f>
        <v>22904.461456230725</v>
      </c>
      <c r="I12" s="1">
        <f t="shared" ref="I12" si="58">I9+I10+I11</f>
        <v>25448.764788422861</v>
      </c>
      <c r="J12" s="1">
        <f t="shared" ref="J12" si="59">J9+J10+J11</f>
        <v>28027.201943245174</v>
      </c>
      <c r="K12" s="1">
        <f t="shared" ref="K12" si="60">K9+K10+K11</f>
        <v>30640.473051139972</v>
      </c>
      <c r="L12" s="1">
        <f t="shared" ref="L12" si="61">L9+L10+L11</f>
        <v>33289.297125183111</v>
      </c>
      <c r="M12" s="1">
        <f t="shared" ref="M12" si="62">M9+M10+M11</f>
        <v>35974.412609788691</v>
      </c>
      <c r="N12" s="1">
        <f t="shared" ref="N12" si="63">N9+N10+N11</f>
        <v>38696.57794530008</v>
      </c>
      <c r="O12" s="1">
        <f t="shared" ref="O12" si="64">O9+O10+O11</f>
        <v>41456.572148918109</v>
      </c>
      <c r="P12" s="1">
        <f t="shared" ref="P12" si="65">P9+P10+P11</f>
        <v>44255.195412430046</v>
      </c>
      <c r="Q12" s="1">
        <f t="shared" ref="Q12" si="66">Q9+Q10+Q11</f>
        <v>45140.299320678649</v>
      </c>
      <c r="R12" s="1">
        <f t="shared" ref="R12" si="67">R9+R10+R11</f>
        <v>46043.105307092221</v>
      </c>
      <c r="S12" s="1">
        <f t="shared" ref="S12" si="68">S9+S10+S11</f>
        <v>46963.967413234066</v>
      </c>
      <c r="T12" s="1">
        <f t="shared" ref="T12" si="69">T9+T10+T11</f>
        <v>47903.246761498747</v>
      </c>
      <c r="U12" s="1">
        <f t="shared" ref="U12" si="70">U9+U10+U11</f>
        <v>48861.311696728721</v>
      </c>
      <c r="V12" s="1">
        <f t="shared" ref="V12" si="71">V9+V10+V11</f>
        <v>49838.537930663297</v>
      </c>
      <c r="W12" s="1">
        <f t="shared" ref="W12" si="72">W9+W10+W11</f>
        <v>50835.308689276564</v>
      </c>
      <c r="X12" s="1">
        <f t="shared" ref="X12" si="73">X9+X10+X11</f>
        <v>51852.014863062097</v>
      </c>
      <c r="Y12" s="1">
        <f t="shared" ref="Y12" si="74">Y9+Y10+Y11</f>
        <v>52889.05516032334</v>
      </c>
      <c r="Z12" s="1">
        <f t="shared" ref="Z12" si="75">Z9+Z10+Z11</f>
        <v>53946.836263529804</v>
      </c>
      <c r="AA12" s="1">
        <f t="shared" ref="AA12" si="76">AA9+AA10+AA11</f>
        <v>55025.772988800396</v>
      </c>
      <c r="AB12" s="1">
        <f t="shared" ref="AB12" si="77">AB9+AB10+AB11</f>
        <v>56126.288448576401</v>
      </c>
      <c r="AC12" s="1">
        <f t="shared" ref="AC12" si="78">AC9+AC10+AC11</f>
        <v>57248.81421754793</v>
      </c>
      <c r="AD12" s="1">
        <f t="shared" ref="AD12" si="79">AD9+AD10+AD11</f>
        <v>58393.790501898889</v>
      </c>
      <c r="AE12" s="1">
        <f t="shared" ref="AE12" si="80">AE9+AE10+AE11</f>
        <v>59561.666311936868</v>
      </c>
    </row>
    <row r="15" spans="1:31" x14ac:dyDescent="0.25">
      <c r="D15" s="43"/>
    </row>
    <row r="16" spans="1:31" x14ac:dyDescent="0.25">
      <c r="D16" s="43"/>
    </row>
    <row r="17" spans="4:4" x14ac:dyDescent="0.25">
      <c r="D17" s="43"/>
    </row>
    <row r="18" spans="4:4" x14ac:dyDescent="0.25">
      <c r="D18" s="43"/>
    </row>
    <row r="19" spans="4:4" x14ac:dyDescent="0.25">
      <c r="D19" s="4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10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Investissement</vt:lpstr>
      <vt:lpstr>Crédit réinvest</vt:lpstr>
      <vt:lpstr>Crédit</vt:lpstr>
      <vt:lpstr>Comptant</vt:lpstr>
      <vt:lpstr>AV</vt:lpstr>
      <vt:lpstr>Old AV</vt:lpstr>
      <vt:lpstr>Etranger</vt:lpstr>
      <vt:lpstr>SCPI</vt:lpstr>
      <vt:lpstr>Livret</vt:lpstr>
      <vt:lpstr>Prêt</vt:lpstr>
      <vt:lpstr>#Revente</vt:lpstr>
      <vt:lpstr>Investissement!Apport</vt:lpstr>
      <vt:lpstr>Coût_assurance_annuel</vt:lpstr>
      <vt:lpstr>Début_Prêt</vt:lpstr>
      <vt:lpstr>Investissement!Duree_Prêt</vt:lpstr>
      <vt:lpstr>Durée_Prêt</vt:lpstr>
      <vt:lpstr>Montant_Du_Prêt</vt:lpstr>
      <vt:lpstr>Nombre_De_Paiements</vt:lpstr>
      <vt:lpstr>pret</vt:lpstr>
      <vt:lpstr>AV!qsdqdqsdq</vt:lpstr>
      <vt:lpstr>qsdqdqsdq</vt:lpstr>
      <vt:lpstr>Investissement!Tau_Prêt</vt:lpstr>
      <vt:lpstr>Taux_Intérêt</vt:lpstr>
      <vt:lpstr>Investissement!Taux_Prêt</vt:lpstr>
      <vt:lpstr>AV!TitreColonne1</vt:lpstr>
      <vt:lpstr>Comptant!TitreColonne1</vt:lpstr>
      <vt:lpstr>'Crédit réinvest'!TitreColonne1</vt:lpstr>
      <vt:lpstr>Investissement!TitreColonne1</vt:lpstr>
      <vt:lpstr>Livret!TitreColonne1</vt:lpstr>
      <vt:lpstr>'Old AV'!TitreColonne1</vt:lpstr>
      <vt:lpstr>SCPI!TitreColonne1</vt:lpstr>
      <vt:lpstr>TitreColonne1</vt:lpstr>
      <vt:lpstr>Total_Des_Intérêts</vt:lpstr>
      <vt:lpstr>AV!Valeur_initiale</vt:lpstr>
      <vt:lpstr>Comptant!Valeur_initiale</vt:lpstr>
      <vt:lpstr>'Crédit réinvest'!Valeur_initiale</vt:lpstr>
      <vt:lpstr>Investissement!Valeur_initiale</vt:lpstr>
      <vt:lpstr>Valeur_initiale</vt:lpstr>
      <vt:lpstr>ZoneTitreLigne1..E6</vt:lpstr>
      <vt:lpstr>ZoneTitreLigne2..E11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TREBOSC</dc:creator>
  <cp:lastModifiedBy>David TREBOSC</cp:lastModifiedBy>
  <cp:lastPrinted>2021-11-02T18:03:56Z</cp:lastPrinted>
  <dcterms:created xsi:type="dcterms:W3CDTF">2021-07-22T07:13:48Z</dcterms:created>
  <dcterms:modified xsi:type="dcterms:W3CDTF">2022-05-31T19:08:54Z</dcterms:modified>
</cp:coreProperties>
</file>